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5" yWindow="180" windowWidth="28515" windowHeight="11910" tabRatio="608" activeTab="0"/>
  </bookViews>
  <sheets>
    <sheet name="MÁV" sheetId="1" r:id="rId1"/>
    <sheet name="iskolakezédsi" sheetId="2" r:id="rId2"/>
    <sheet name="üdülési" sheetId="3" r:id="rId3"/>
    <sheet name="Lista" sheetId="4" state="hidden" r:id="rId4"/>
  </sheets>
  <definedNames>
    <definedName name="aaaaa">'Lista'!$C$34:$C$36</definedName>
    <definedName name="Felhasznált_összeg">'MÁV'!#REF!</definedName>
    <definedName name="gyümi">'Lista'!$C$26:$C$28</definedName>
    <definedName name="MÁJUS">'MÁV'!$C$13</definedName>
    <definedName name="Maradvány">'Lista'!$G$2:$G$7</definedName>
    <definedName name="Minimálbér">'Lista'!$A$2:$A$4</definedName>
    <definedName name="_xlnm.Print_Area" localSheetId="0">'MÁV'!$B$105:$N$149</definedName>
    <definedName name="Önkéntes_egészségpénztárak">'Lista'!$B$2:$B$6</definedName>
    <definedName name="Önkéntes_nyugdíjpénztárak">'Lista'!$D$2:$D$11</definedName>
    <definedName name="Önkéntes_önsegélyező_pénztárak">'Lista'!$C$2:$C$4</definedName>
    <definedName name="Pénztárak">'Lista'!$E$2:$E$9</definedName>
  </definedNames>
  <calcPr fullCalcOnLoad="1"/>
</workbook>
</file>

<file path=xl/comments1.xml><?xml version="1.0" encoding="utf-8"?>
<comments xmlns="http://schemas.openxmlformats.org/spreadsheetml/2006/main">
  <authors>
    <author>Megyeri Zs</author>
  </authors>
  <commentList>
    <comment ref="H30" authorId="0">
      <text>
        <r>
          <rPr>
            <b/>
            <sz val="9"/>
            <rFont val="Tahoma"/>
            <family val="2"/>
          </rPr>
          <t>Megyeri Zs: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Ez csak a B lapon lenne látható, az A lapon levédem és elrejtem.</t>
        </r>
      </text>
    </comment>
    <comment ref="D14" authorId="0">
      <text>
        <r>
          <rPr>
            <b/>
            <sz val="9"/>
            <rFont val="Tahoma"/>
            <family val="2"/>
          </rPr>
          <t xml:space="preserve">Alanyi juttatás
MÁV-START Zrt: 92.900Ft/év 
</t>
        </r>
      </text>
    </comment>
    <comment ref="E14" authorId="0">
      <text>
        <r>
          <rPr>
            <b/>
            <sz val="9"/>
            <rFont val="Tahoma"/>
            <family val="2"/>
          </rPr>
          <t xml:space="preserve">Az alanyi éves kerete:
MÁV-START Zrt:  92.900 Ft
</t>
        </r>
      </text>
    </comment>
    <comment ref="C13" authorId="0">
      <text>
        <r>
          <rPr>
            <b/>
            <sz val="11"/>
            <rFont val="Tahoma"/>
            <family val="2"/>
          </rPr>
          <t>SZÉP szállás utalása</t>
        </r>
        <r>
          <rPr>
            <sz val="11"/>
            <rFont val="Tahoma"/>
            <family val="2"/>
          </rPr>
          <t xml:space="preserve">
A 2019. 04. 25. után leadott nyilatkozatokon  csak szeptemberi utalás választható.</t>
        </r>
      </text>
    </comment>
  </commentList>
</comments>
</file>

<file path=xl/sharedStrings.xml><?xml version="1.0" encoding="utf-8"?>
<sst xmlns="http://schemas.openxmlformats.org/spreadsheetml/2006/main" count="443" uniqueCount="265">
  <si>
    <t>Minimálbér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</si>
  <si>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</si>
  <si>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</si>
  <si>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</si>
  <si>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</si>
  <si>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</si>
  <si>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</si>
  <si>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</si>
  <si>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</si>
  <si>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</si>
  <si>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</si>
  <si>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5.</t>
  </si>
  <si>
    <t>MKB Egészségpénztár</t>
  </si>
  <si>
    <t>OTP Egészségpénztár</t>
  </si>
  <si>
    <t>Vasutas Egészségpénztár</t>
  </si>
  <si>
    <t>Önkéntes nyugdíjpénztárak</t>
  </si>
  <si>
    <t>Önkéntes önsegélyező pénztárak</t>
  </si>
  <si>
    <t>Patika Egészségpénztár</t>
  </si>
  <si>
    <t>Pénztárak</t>
  </si>
  <si>
    <t>Aranykor Önkéntes Nyugdíjpénztár</t>
  </si>
  <si>
    <t>Budapest Önkéntes Nyugdíjpénztár</t>
  </si>
  <si>
    <t>ING Önkéntes Nyugdíjpénztár</t>
  </si>
  <si>
    <t>OTP Önkéntes Nyugdíjpénztár</t>
  </si>
  <si>
    <t>13.</t>
  </si>
  <si>
    <t>Allianz Hungária Önkéntes Nyugdíjpénztár</t>
  </si>
  <si>
    <t>AEGON Önkéntes Nyugdíjpénztár</t>
  </si>
  <si>
    <t>Gyöngyház Önkéntes Nyugdíjpénztár</t>
  </si>
  <si>
    <t>Mobilitas Önkéntes Nyugdíjpénztár</t>
  </si>
  <si>
    <t>MKB Önkéntes Nyugdíjpénztár</t>
  </si>
  <si>
    <t>Vasutas Önkéntes Nyugdíjpénztár</t>
  </si>
  <si>
    <t>Önkéntes kölcsönös kiegészítő egészségpénztárak</t>
  </si>
  <si>
    <t>AXA Egészségpénztár</t>
  </si>
  <si>
    <t>PÖKKÖP</t>
  </si>
  <si>
    <t>VÖKKÖP</t>
  </si>
  <si>
    <t>Kafetéria Önsegélyező Pénztár</t>
  </si>
  <si>
    <t>Iskolakezdési</t>
  </si>
  <si>
    <t>1. Önkéntes nyugdíjpénztári tagdíj hozzájárulás</t>
  </si>
  <si>
    <t>2. Egészségpénztári tagdíj hozzájárulás</t>
  </si>
  <si>
    <t>3. Önsegélyező pénztár tagdíj hozzájárulás</t>
  </si>
  <si>
    <t>15. Magáncélú ruhapénz</t>
  </si>
  <si>
    <t>Maradvány</t>
  </si>
  <si>
    <t>4. Egyéb önkéntes nyugdíjpénztári tagdíj hozzájárulás</t>
  </si>
  <si>
    <t>5. Egyéb egészség-/önsegélyező pénztári tagdíj hozzájárulás</t>
  </si>
  <si>
    <t>Felhasználható</t>
  </si>
  <si>
    <t>(bruttó összeg)</t>
  </si>
  <si>
    <t>szorzó</t>
  </si>
  <si>
    <t>Allianz Hungária Önkéntes Nyp.</t>
  </si>
  <si>
    <t>VÁLASZTHATÓ ELEMEK</t>
  </si>
  <si>
    <t>BRUTTÓ KERET ÖSSZESEN</t>
  </si>
  <si>
    <t>A munkavállaló az általa választott VBKJ elemekből a "juttatás nettó értéke" oszlopban szereplő értékben részesül!</t>
  </si>
  <si>
    <t>helység</t>
  </si>
  <si>
    <t>dátum</t>
  </si>
  <si>
    <t>MUNKAVÁLLALÓ NEVE</t>
  </si>
  <si>
    <t>TELEFON:</t>
  </si>
  <si>
    <t>TÖRZSSZÁMA:</t>
  </si>
  <si>
    <t>választható max:</t>
  </si>
  <si>
    <t>Gyermekek</t>
  </si>
  <si>
    <t>Utalvány nettó értéke</t>
  </si>
  <si>
    <t>Szorzó</t>
  </si>
  <si>
    <t>Bruttó összeg</t>
  </si>
  <si>
    <t>1. gyermek</t>
  </si>
  <si>
    <t>2. gyermek</t>
  </si>
  <si>
    <t>3. gyermek</t>
  </si>
  <si>
    <t>4. gyermek</t>
  </si>
  <si>
    <t>5. gyermek</t>
  </si>
  <si>
    <t>6. gyermek</t>
  </si>
  <si>
    <t>7. gyermek</t>
  </si>
  <si>
    <t>8. gyermek</t>
  </si>
  <si>
    <t>9. gyermek</t>
  </si>
  <si>
    <t>10. gyermek</t>
  </si>
  <si>
    <t>Összesen:</t>
  </si>
  <si>
    <t>Felhasznált keret:</t>
  </si>
  <si>
    <t>Vissza a kitöltéshez</t>
  </si>
  <si>
    <t>Számolási segédlet üdülési csekk választásához</t>
  </si>
  <si>
    <t>Fő</t>
  </si>
  <si>
    <t>Csekk nettó értéke</t>
  </si>
  <si>
    <t>1. fő</t>
  </si>
  <si>
    <t>2. fő</t>
  </si>
  <si>
    <t>3. fő</t>
  </si>
  <si>
    <t>4. fő</t>
  </si>
  <si>
    <t>5. fő</t>
  </si>
  <si>
    <t>6. fő</t>
  </si>
  <si>
    <t>7. fő</t>
  </si>
  <si>
    <t>8. fő</t>
  </si>
  <si>
    <t>9. fő</t>
  </si>
  <si>
    <t>10. fő</t>
  </si>
  <si>
    <t>Figyelmeztetések</t>
  </si>
  <si>
    <t>Felhasznált:</t>
  </si>
  <si>
    <t>Bruttó keret:</t>
  </si>
  <si>
    <t>Felhasználható:</t>
  </si>
  <si>
    <t>felhasznált keret (bruttó összeg)</t>
  </si>
  <si>
    <t>Az igényelt üdülési csekk nettó összege minimum 5.000 Ft lehet.</t>
  </si>
  <si>
    <t>választható   összeg</t>
  </si>
  <si>
    <t>MUNKÁLTATÓ</t>
  </si>
  <si>
    <t>Életút Önsegélyező Pénztár</t>
  </si>
  <si>
    <t>Aranykorona Önkéntes Nyugdíjpénztár</t>
  </si>
  <si>
    <t>AXA Önkéntes Nyugdíjpénztár</t>
  </si>
  <si>
    <t>CIB Önkéntes Nyugdíjpénztár</t>
  </si>
  <si>
    <t>Dimenzió Bizt.és Öns.Egyesület</t>
  </si>
  <si>
    <t>Életút Első Orsz.Önkéntes Nyugdíjpénztár</t>
  </si>
  <si>
    <t>ELMŰ  Nyugdíjpénztár</t>
  </si>
  <si>
    <t>ERSTE Önkéntes Nyugdíjpénztár</t>
  </si>
  <si>
    <t>Generál Önkéntes Nyugdíjpénztár</t>
  </si>
  <si>
    <t>Honvéd Önkéntes Nyugdíjpénztár</t>
  </si>
  <si>
    <t>Rába Önkéntes Nyugdíjpénztár</t>
  </si>
  <si>
    <t>Vitamin Egészségpénztár</t>
  </si>
  <si>
    <t>Dimenzió Önk. Egészségpénztár</t>
  </si>
  <si>
    <t>Generáli Eg.pénztár( Évgyűrű)</t>
  </si>
  <si>
    <t>Honvéd Egészségpénztár</t>
  </si>
  <si>
    <t>K&amp;H Medicina Egészségpénztár</t>
  </si>
  <si>
    <t>Tempo Egészségpénztár</t>
  </si>
  <si>
    <t>CIB Önkéntes Kölcsönös Nyp.</t>
  </si>
  <si>
    <t>Dimenzió Bizt. és Öns. Egyesület</t>
  </si>
  <si>
    <t>Életút Első Orsz. Önkéntes Nyp.</t>
  </si>
  <si>
    <t>Gyöngyház Önkéntes Nyp.</t>
  </si>
  <si>
    <t>Honvéd Önkéntes és Mnyp.</t>
  </si>
  <si>
    <t>Aegon Önkéntes Nyp. (beleolvadt az Uniqa és Egyesült Közszolgálati Nyp.)</t>
  </si>
  <si>
    <t xml:space="preserve">Minden egyes fő-re igényelt üdülési csekk összeget külön sorba kell írni, mely nem haladhatja meg egyenként a 78.000 Ft/fő-t.
Figyeljen arra, hogy a nettó összegnek 1 000 Ft-tal oszthatónak kell lennie. </t>
  </si>
  <si>
    <t>SZÉCHENYI PIHENŐ KÁRTYA - SZÁLLÁS</t>
  </si>
  <si>
    <t>SZÉCHENYI PIHENŐ KÁRTYA - SZABADIDŐ</t>
  </si>
  <si>
    <t>Kelt</t>
  </si>
  <si>
    <t>Kérem válasszon!</t>
  </si>
  <si>
    <t>Medicina Egészségpénztár</t>
  </si>
  <si>
    <t>Pannónia Önsegélyező Pénztár</t>
  </si>
  <si>
    <t>régi sorszám</t>
  </si>
  <si>
    <t>Új Pillér Egészségpénztár</t>
  </si>
  <si>
    <t>Választott pénztár neve*:</t>
  </si>
  <si>
    <t>VÁLASZTHATÓ BÉREN KÍVÜLI JAVADALMAZÁSI RENDSZER</t>
  </si>
  <si>
    <t>MUNKAVÁLLALÓ</t>
  </si>
  <si>
    <t>SZÉP Kártya-SZÁLLÁS</t>
  </si>
  <si>
    <t>SZÉP Kártya-SZABADIDŐ</t>
  </si>
  <si>
    <t>SZÉP Kártya-VENDÉGLÁTÁS</t>
  </si>
  <si>
    <t>Iskolakezdési támogatásra jogosult:</t>
  </si>
  <si>
    <t>SZÉCHENYI PIHENŐ KÁRTYA - VENDÉGLÁTÁS</t>
  </si>
  <si>
    <t>12.</t>
  </si>
  <si>
    <t>VBKJ keretéből erre a juttatásra még felhasználható ősszeg</t>
  </si>
  <si>
    <t>MÁV SZOLGÁLTATÓ KÖZPONT ZRT.</t>
  </si>
  <si>
    <t>Richter Gedeon Nyugdíjpénztár</t>
  </si>
  <si>
    <t>Test-Vér Egészségpénztár</t>
  </si>
  <si>
    <t>CHINOIN Nyugdíjpénztár</t>
  </si>
  <si>
    <t>Bizalom Önkéntes Nyp.</t>
  </si>
  <si>
    <t>ÖNKÉNTES NYUGDÍJPÉNZTÁRI TAGDÍJ HOZZÁJÁRULÁS*</t>
  </si>
  <si>
    <t>értékig</t>
  </si>
  <si>
    <t>SZÁMOLÁSI SEGÉDLET AZ ISKOLAI ERZSÉBET-UTALVÁNY VÁLASZTÁSÁHOZ,</t>
  </si>
  <si>
    <t>KÖZLEKEDÉSI HOZZÁJÁRULÁS (HELYI)</t>
  </si>
  <si>
    <t>Postás Nyugdíjpénztár.</t>
  </si>
  <si>
    <t>Prémium Önkéntes Nyugdíjpénztár</t>
  </si>
  <si>
    <t>Budapest Orsz.Önk. Kölcs.Nyp.</t>
  </si>
  <si>
    <t>Pannónia Önkéntes Nyugdíjpénzt.</t>
  </si>
  <si>
    <t>Prémium Önk. Egészségpénztár</t>
  </si>
  <si>
    <t>Életút Eg. és Önsegélyező Pénztár</t>
  </si>
  <si>
    <t>OTP Kieg.Önkéntes Nyp.</t>
  </si>
  <si>
    <t>SPORTRENDEZVÉNYRE SZOLGÁLÓ BELÉPŐ</t>
  </si>
  <si>
    <t>KULTURÁLIS SZOLGÁLTATÁSRA SZOLGÁLÓ BELÉPŐ</t>
  </si>
  <si>
    <r>
      <t xml:space="preserve">*A </t>
    </r>
    <r>
      <rPr>
        <b/>
        <i/>
        <u val="single"/>
        <sz val="14"/>
        <color indexed="8"/>
        <rFont val="Arial"/>
        <family val="2"/>
      </rPr>
      <t>pénztáraknál</t>
    </r>
    <r>
      <rPr>
        <b/>
        <i/>
        <sz val="14"/>
        <color indexed="8"/>
        <rFont val="Arial"/>
        <family val="2"/>
      </rPr>
      <t xml:space="preserve"> a "választható elemek" mezőben a kék színű cellában egy legördülő listából választhatja ki a pénztár nevét. </t>
    </r>
  </si>
  <si>
    <t>SZÉP KÁRTYA TÍPUSA</t>
  </si>
  <si>
    <t>SZÉP KÁRTYA TÍPUSA:</t>
  </si>
  <si>
    <t>EGÉSZSÉG- ÉS ÖNSEGÉLYEZŐ PÉNZTÁRI TAGDÍJ HOZZÁJÁRULÁS*</t>
  </si>
  <si>
    <t>A nettó összegnek 100 Ft-tal oszthatónak kell lennie!</t>
  </si>
  <si>
    <t>MKB-Pannónia Eg. és Öns.Pénztár</t>
  </si>
  <si>
    <t>Aranykor Nyugdíjpénztár</t>
  </si>
  <si>
    <t>Generali Önkéntes Nyugdíjpénztár</t>
  </si>
  <si>
    <t>Allianz Hungária Eg.pénztár</t>
  </si>
  <si>
    <t>Generali Eg.pénztár(volt: Évgyűrűk)</t>
  </si>
  <si>
    <t>ÜSZI-nél leadandó mellékletek</t>
  </si>
  <si>
    <t>Vasutas Eg.- és Önsegélyező P.</t>
  </si>
  <si>
    <t>BÖLCSŐDEI, ÓVODAI SZOLGÁLTATÁS KÖLTSÉGTÉRÍTÉSE</t>
  </si>
  <si>
    <t>Nyilatkozatomat a munkáltató tájékoztatása figyelembe vételével töltöttem ki.</t>
  </si>
  <si>
    <t>minimum</t>
  </si>
  <si>
    <t>maximum</t>
  </si>
  <si>
    <r>
      <t xml:space="preserve">A </t>
    </r>
    <r>
      <rPr>
        <b/>
        <sz val="14"/>
        <color indexed="10"/>
        <rFont val="Arial"/>
        <family val="2"/>
      </rPr>
      <t xml:space="preserve">juttatást csak olyan munkavállalók kaphatják, akik </t>
    </r>
    <r>
      <rPr>
        <b/>
        <u val="single"/>
        <sz val="14"/>
        <color indexed="8"/>
        <rFont val="Arial"/>
        <family val="2"/>
      </rPr>
      <t>családi pótlékra jogosult szülei</t>
    </r>
    <r>
      <rPr>
        <b/>
        <sz val="14"/>
        <color indexed="8"/>
        <rFont val="Arial"/>
        <family val="2"/>
      </rPr>
      <t xml:space="preserve"> a  </t>
    </r>
    <r>
      <rPr>
        <b/>
        <u val="single"/>
        <sz val="14"/>
        <color indexed="8"/>
        <rFont val="Arial"/>
        <family val="2"/>
      </rPr>
      <t>közoktatásban részt vevő</t>
    </r>
    <r>
      <rPr>
        <b/>
        <sz val="14"/>
        <color indexed="8"/>
        <rFont val="Arial"/>
        <family val="2"/>
      </rPr>
      <t xml:space="preserve"> (általános vagy középiskolás), </t>
    </r>
    <r>
      <rPr>
        <b/>
        <u val="single"/>
        <sz val="14"/>
        <color indexed="8"/>
        <rFont val="Arial"/>
        <family val="2"/>
      </rPr>
      <t>velük egy háztartásban lakó gyermeknek</t>
    </r>
    <r>
      <rPr>
        <b/>
        <sz val="14"/>
        <color indexed="8"/>
        <rFont val="Arial"/>
        <family val="2"/>
      </rPr>
      <t>! A juttatás értéke</t>
    </r>
    <r>
      <rPr>
        <b/>
        <sz val="14"/>
        <color indexed="10"/>
        <rFont val="Arial"/>
        <family val="2"/>
      </rPr>
      <t xml:space="preserve"> jogosult gyermekenként </t>
    </r>
    <r>
      <rPr>
        <b/>
        <sz val="14"/>
        <color indexed="10"/>
        <rFont val="Arial"/>
        <family val="2"/>
      </rPr>
      <t>min.1000,-Ft, összesen max. 97.500,-Ft lehet!</t>
    </r>
  </si>
  <si>
    <r>
      <rPr>
        <b/>
        <u val="double"/>
        <sz val="22"/>
        <color indexed="10"/>
        <rFont val="Arial"/>
        <family val="2"/>
      </rPr>
      <t>2018. 06.15. után</t>
    </r>
    <r>
      <rPr>
        <u val="double"/>
        <sz val="22"/>
        <color indexed="10"/>
        <rFont val="Arial"/>
        <family val="2"/>
      </rPr>
      <t xml:space="preserve"> ez a juttatási elem </t>
    </r>
    <r>
      <rPr>
        <b/>
        <u val="double"/>
        <sz val="22"/>
        <color indexed="10"/>
        <rFont val="Arial"/>
        <family val="2"/>
      </rPr>
      <t>nem kérhető</t>
    </r>
    <r>
      <rPr>
        <u val="double"/>
        <sz val="22"/>
        <color indexed="10"/>
        <rFont val="Arial"/>
        <family val="2"/>
      </rPr>
      <t>!</t>
    </r>
  </si>
  <si>
    <r>
      <t xml:space="preserve">Étkezési és iskolai Erzsébet-utalvány együttes választása esetén a </t>
    </r>
    <r>
      <rPr>
        <b/>
        <u val="single"/>
        <sz val="14"/>
        <color indexed="60"/>
        <rFont val="Arial"/>
        <family val="2"/>
      </rPr>
      <t>két juttatás együttes értéke max. 97.500,-Ft lehet!</t>
    </r>
  </si>
  <si>
    <t>14.</t>
  </si>
  <si>
    <t>15.</t>
  </si>
  <si>
    <t>MOBILITÁS CÉLÚ LAKHATÁSI TÁMOGATÁS</t>
  </si>
  <si>
    <t>DIÁKHITEL TÖRLESZTÉS TÁMOGATÁS</t>
  </si>
  <si>
    <t>16.</t>
  </si>
  <si>
    <t>A SZÉP juttatásoknál a 450.000Ft arányosítva a munkaviszony napjaival és ha ez a legkisebb összeg, akkor ez a felső határ, egyébként az adott alszámla korlátja, és ha az időarányos keret ennél kevesebb, akkor a keret nettó értéke.</t>
  </si>
  <si>
    <t>SZÉCHENYI PIHENŐ KÁRTYA - SZÁLLÁS**</t>
  </si>
  <si>
    <t>SZÉCHENYI PIHENŐ KÁRTYA - VENDÉGLÁTÁS**</t>
  </si>
  <si>
    <t>SZÉCHENYI PIHENŐ KÁRTYA - SZABADIDŐ**</t>
  </si>
  <si>
    <t>SZÉCHENYI PIHENŐ KÁRTYA - SZÁLLÁS*</t>
  </si>
  <si>
    <t>SZÉCHENYI PIHENŐ KÁRTYA - VENDÉGLÁTÁS*</t>
  </si>
  <si>
    <t>SZÉCHENYI PIHENŐ KÁRTYA - SZABADIDŐ*</t>
  </si>
  <si>
    <r>
      <t xml:space="preserve">VBJK MEGVÁLTÁS (korábbi években felhalmozott lakáscélú megtakarítás meghiúsulása esetén) </t>
    </r>
    <r>
      <rPr>
        <i/>
        <sz val="11"/>
        <rFont val="Times New Roman"/>
        <family val="1"/>
      </rPr>
      <t>A juttatás nettó értéke összevont jövedelemként kerül elszámolásra, a nettó értékből az adó- és járulékterhek (33,5%) levonása utáni összeg kerül kifizetésre.</t>
    </r>
  </si>
  <si>
    <r>
      <t xml:space="preserve">1 </t>
    </r>
    <r>
      <rPr>
        <b/>
        <i/>
        <sz val="11"/>
        <rFont val="Arial"/>
        <family val="2"/>
      </rPr>
      <t>Magyarázat</t>
    </r>
    <r>
      <rPr>
        <sz val="11"/>
        <rFont val="Arial"/>
        <family val="2"/>
      </rPr>
      <t xml:space="preserve">: Az önkéntes kölcsönös biztosító pénztárakról szóló 1993. évi XCVI. törvény 12.§-a alapján a munkáltatónak minden munkavállalója részére azonos mértékű pénztári befizetést köteles teljesíteni, kivéve ha a munkavállaló ennek szüneteltetését kéri annak érdekében, hogy </t>
    </r>
    <r>
      <rPr>
        <b/>
        <sz val="11"/>
        <rFont val="Arial"/>
        <family val="2"/>
      </rPr>
      <t>a béren kívüli juttatási rendszerben más elemeket is választhasson</t>
    </r>
    <r>
      <rPr>
        <sz val="11"/>
        <rFont val="Arial"/>
        <family val="2"/>
      </rPr>
      <t>. Ez a szüneteltetési kérelem nem vonatkozik a VBKJ keretén kívüli munkáltatói hozzájárulás szüneteltetésére, azt a munkáltató továbbra is változatlan feltételek mellett juttatja.</t>
    </r>
  </si>
  <si>
    <t>A nyilatkozati lapon található adatokat a munkáltató statisztikai célra felhasználja. 
Nyilatkozatomat a munkáltató tájékoztatása figyelembe vételével töltöttem ki.</t>
  </si>
  <si>
    <t>*Évi 450.000 Ft együttes keretösszegig és az elemre (alszámlára) vonatkozó korlátig (szállás:225eFt/év, vendéglátás:150eFt/év,  szabadidő: 75eFt/év) kedvezményes adózású (beleszámítva a más munkáltatótól kapott juttatás illetve vendéglátás alszámla esetén az alanyi juttatás összegét)!</t>
  </si>
  <si>
    <t>VÁLASZTHATÓ BÉREN KÍVÜLI JAVADALMAZÁSI RENDSZER  "A" NYILATKOZAT - 2019.</t>
  </si>
  <si>
    <t>Jogosult napok száma:</t>
  </si>
  <si>
    <t>Napi munkaidő (óra)»</t>
  </si>
  <si>
    <t>VBKJ KÉSZPÉNZ</t>
  </si>
  <si>
    <t>LAKÁSCÉLÚ TÁMOGATÁS</t>
  </si>
  <si>
    <t>17.</t>
  </si>
  <si>
    <t>2019. évben mástól kapott összeg »</t>
  </si>
  <si>
    <t>2019.évben mástól kapott összeg»</t>
  </si>
  <si>
    <t xml:space="preserve"> VBJK MEGVÁLTÁS  
(hatályos VBKJ utasításban meghatározott esetekben)</t>
  </si>
  <si>
    <t xml:space="preserve">                     "A" NYILATKOZAT - 2019.</t>
  </si>
  <si>
    <t>A felsorolt választható elemek közül 2019. évre az alábbiakat kívánom igénybe venni:</t>
  </si>
  <si>
    <t>SZÉCHENYI PIHENŐ KÁRTYA - SZÁLLÁS*** 
(nem kedvezményes adózású)</t>
  </si>
  <si>
    <t>SZÉCHENYI PIHENŐ KÁRTYA - VENDÉGLÁTÁS***
(nem kedvezményes adózású)</t>
  </si>
  <si>
    <t>SZÉCHENYI PIHENŐ KÁRTYA - SZABADIDŐ***
(nem kedvezményes adózású)</t>
  </si>
  <si>
    <t>2019-ben más munkáltatótól vagy alanyi juttatásként kapott</t>
  </si>
  <si>
    <t>A 450eFt Rekreációs keretből kért juttatások összesen</t>
  </si>
  <si>
    <t>Tájékoztatásul:</t>
  </si>
  <si>
    <t>SZK NYP</t>
  </si>
  <si>
    <t>SZK EP</t>
  </si>
  <si>
    <t>HÉV NYP</t>
  </si>
  <si>
    <t>MÁV NYP</t>
  </si>
  <si>
    <t>START NYP</t>
  </si>
  <si>
    <t>FKG NYP</t>
  </si>
  <si>
    <t>ZP NYP</t>
  </si>
  <si>
    <t>MÁV EP</t>
  </si>
  <si>
    <t>START EP</t>
  </si>
  <si>
    <t>HÉV EP</t>
  </si>
  <si>
    <t>FKG EP</t>
  </si>
  <si>
    <t>ZP EP</t>
  </si>
  <si>
    <t>Cimbora Önkéntes Nyp</t>
  </si>
  <si>
    <t>Első Rendőri Kieg.Nyp.</t>
  </si>
  <si>
    <t>Mentő Nyugdíjpénztár</t>
  </si>
  <si>
    <t>Danubius Önkéntes Nyp.</t>
  </si>
  <si>
    <t>Első Orsz.Iparszöv.Nyp.</t>
  </si>
  <si>
    <t>ELMŰ Nyp.</t>
  </si>
  <si>
    <t>FŐGÁZ (NKM) Önk.Nyp.</t>
  </si>
  <si>
    <r>
      <t>Figyelem! A számított értékek tájékoztató jellegűek,</t>
    </r>
    <r>
      <rPr>
        <b/>
        <i/>
        <sz val="20"/>
        <color indexed="10"/>
        <rFont val="Arial"/>
        <family val="2"/>
      </rPr>
      <t xml:space="preserve"> a végleges elfogadás az ÜSZI feladata.</t>
    </r>
  </si>
  <si>
    <t>Életút Eg.és Öns.Pénztár</t>
  </si>
  <si>
    <t>ZÁHONY-PORT Zrt</t>
  </si>
  <si>
    <t>MÁV-START ZRT.</t>
  </si>
  <si>
    <t>MÁV ZRT.</t>
  </si>
  <si>
    <t>MÁV-HÉV ZRT.</t>
  </si>
  <si>
    <t>MÁV FKG KFT.</t>
  </si>
  <si>
    <t>MÁJUS</t>
  </si>
  <si>
    <t>SZEPTEMBER</t>
  </si>
  <si>
    <t>A keret az N2-ben</t>
  </si>
  <si>
    <t xml:space="preserve">A  felhasználható  keret bruttó összege 2019. évben: </t>
  </si>
  <si>
    <t>Napi munkaidő(óra)</t>
  </si>
  <si>
    <t>Jogosult napok:</t>
  </si>
  <si>
    <t>Rekreációs keret:</t>
  </si>
  <si>
    <t>ÖNKÉNTES NYUGDÍJPÉNZTÁRI TAGDÍJ HOZZÁJÁRULÁS**</t>
  </si>
  <si>
    <t>EGÉSZSÉG- ÉS ÖNSEGÉLYEZŐ PÉNZTÁRI TAGDÍJ HOZZÁJÁRULÁS**</t>
  </si>
  <si>
    <r>
      <t xml:space="preserve">Szja. tv.70.§ szerinti időarányos </t>
    </r>
    <r>
      <rPr>
        <b/>
        <i/>
        <sz val="10"/>
        <rFont val="Arial"/>
        <family val="2"/>
      </rPr>
      <t>Rekreációs keretösszeg</t>
    </r>
    <r>
      <rPr>
        <b/>
        <sz val="10"/>
        <rFont val="Arial"/>
        <family val="2"/>
      </rPr>
      <t xml:space="preserve">»       </t>
    </r>
    <r>
      <rPr>
        <sz val="10"/>
        <rFont val="Arial"/>
        <family val="2"/>
      </rPr>
      <t>(</t>
    </r>
    <r>
      <rPr>
        <sz val="10"/>
        <color indexed="8"/>
        <rFont val="Arial"/>
        <family val="2"/>
      </rPr>
      <t>450.000 Ft/év)</t>
    </r>
  </si>
  <si>
    <t>Tájékoztató információk:</t>
  </si>
  <si>
    <t>Ezen a nyilatkozati lapon kért kedv.adózású SZÉP juttatás 2019</t>
  </si>
  <si>
    <r>
      <t xml:space="preserve">2019.évben </t>
    </r>
    <r>
      <rPr>
        <b/>
        <sz val="10"/>
        <color indexed="10"/>
        <rFont val="Arial"/>
        <family val="2"/>
      </rPr>
      <t>alanyi juttatás</t>
    </r>
    <r>
      <rPr>
        <b/>
        <sz val="10"/>
        <rFont val="Arial"/>
        <family val="2"/>
      </rPr>
      <t xml:space="preserve"> + mástól kapott összeg»</t>
    </r>
  </si>
  <si>
    <t>SZÉP Szállás rádiógomb</t>
  </si>
  <si>
    <t>Túlköltekezés esetén hozzájárulok, hogy az éves keretösszegen felül felhasznált összeget béremből, egyéb járandóságaimból levonják.</t>
  </si>
  <si>
    <r>
      <t>Kérem a munkáltatót, hogy jelen nyilatkozatom érvényességi ideje alatt kizárólag csak a VBKJ keretben biztosított önkéntes pénztári elem vonatkozásában az önkéntes pénztárakba részemre nyújtandó egységes mértékű hozzájárulást szüneteltesse.</t>
    </r>
    <r>
      <rPr>
        <b/>
        <vertAlign val="superscript"/>
        <sz val="14"/>
        <rFont val="Arial"/>
        <family val="2"/>
      </rPr>
      <t xml:space="preserve">1  </t>
    </r>
  </si>
  <si>
    <t>még felhasználható "munkavállalói bruttó" összeg</t>
  </si>
  <si>
    <t>juttatás "munkavállalói bruttó" értéke</t>
  </si>
  <si>
    <t>Juttatás "munkavállalói bruttó" értéke</t>
  </si>
  <si>
    <t>Felhasznált keret</t>
  </si>
  <si>
    <t>**A juttatás "munkavállalói bruttó" értéke adó- és járulékköteles, összevont jövedelemként kerül elszámolásra.</t>
  </si>
  <si>
    <r>
      <t>A munkavállaló az általa választott VBKJ elemből 
a  „</t>
    </r>
    <r>
      <rPr>
        <b/>
        <i/>
        <sz val="11"/>
        <rFont val="Arial"/>
        <family val="2"/>
      </rPr>
      <t>juttatás munkavállalói bruttó értéke</t>
    </r>
    <r>
      <rPr>
        <b/>
        <sz val="11"/>
        <rFont val="Arial"/>
        <family val="2"/>
      </rPr>
      <t xml:space="preserve">” oszlopban szereplő értékben részesül, illetve a 10-16. sorszámú elemeknél ez képezi az adó- és járulékfizetési kötelezettség alapját! </t>
    </r>
  </si>
  <si>
    <r>
      <t xml:space="preserve">*** A </t>
    </r>
    <r>
      <rPr>
        <b/>
        <u val="single"/>
        <sz val="14"/>
        <color indexed="8"/>
        <rFont val="Arial"/>
        <family val="2"/>
      </rPr>
      <t xml:space="preserve">nem kedvezményes adózású SZÉP Kártya juttatás abban az esetben választható </t>
    </r>
    <r>
      <rPr>
        <b/>
        <sz val="14"/>
        <color indexed="8"/>
        <rFont val="Arial"/>
        <family val="2"/>
      </rPr>
      <t>(a választható összeg is csak akkor jelenik meg!) ha az adott alszámla kedvezményes adózású keretét (4., 5., 6. tétel) már felhasználta.</t>
    </r>
  </si>
  <si>
    <r>
      <rPr>
        <b/>
        <u val="single"/>
        <sz val="14"/>
        <color indexed="8"/>
        <rFont val="Arial"/>
        <family val="2"/>
      </rPr>
      <t>Kérjük, a kék színű mezőket szíveskedjen kitölteni!</t>
    </r>
    <r>
      <rPr>
        <b/>
        <sz val="14"/>
        <color indexed="8"/>
        <rFont val="Arial"/>
        <family val="2"/>
      </rPr>
      <t xml:space="preserve"> A kék mezőkre lépve felugró üzenetek, figyelmeztetések segítik a kitöltésben.</t>
    </r>
    <r>
      <rPr>
        <sz val="14"/>
        <color indexed="8"/>
        <rFont val="Arial"/>
        <family val="2"/>
      </rPr>
      <t xml:space="preserve">
A jobb felső sarokban az egyes  juttatások kiválasztása után az </t>
    </r>
    <r>
      <rPr>
        <b/>
        <i/>
        <u val="single"/>
        <sz val="14"/>
        <color indexed="8"/>
        <rFont val="Arial"/>
        <family val="2"/>
      </rPr>
      <t>O3 mezőben</t>
    </r>
    <r>
      <rPr>
        <sz val="14"/>
        <color indexed="8"/>
        <rFont val="Arial"/>
        <family val="2"/>
      </rPr>
      <t xml:space="preserve"> látja a </t>
    </r>
    <r>
      <rPr>
        <u val="single"/>
        <sz val="14"/>
        <color indexed="8"/>
        <rFont val="Arial"/>
        <family val="2"/>
      </rPr>
      <t>felhasznált keret összegét</t>
    </r>
    <r>
      <rPr>
        <sz val="14"/>
        <color indexed="8"/>
        <rFont val="Arial"/>
        <family val="2"/>
      </rPr>
      <t xml:space="preserve"> és az </t>
    </r>
    <r>
      <rPr>
        <b/>
        <i/>
        <sz val="14"/>
        <color indexed="8"/>
        <rFont val="Arial"/>
        <family val="2"/>
      </rPr>
      <t>M5 mezőben</t>
    </r>
    <r>
      <rPr>
        <i/>
        <sz val="14"/>
        <color indexed="8"/>
        <rFont val="Arial"/>
        <family val="2"/>
      </rPr>
      <t xml:space="preserve"> üzenetet</t>
    </r>
    <r>
      <rPr>
        <sz val="14"/>
        <color indexed="8"/>
        <rFont val="Arial"/>
        <family val="2"/>
      </rPr>
      <t xml:space="preserve"> is arra vonatkozóan, hogy a keretét teljes egészében felhasználta vagy már túllépte, illetve az</t>
    </r>
    <r>
      <rPr>
        <b/>
        <i/>
        <sz val="14"/>
        <color indexed="8"/>
        <rFont val="Arial"/>
        <family val="2"/>
      </rPr>
      <t xml:space="preserve"> </t>
    </r>
    <r>
      <rPr>
        <b/>
        <i/>
        <u val="single"/>
        <sz val="14"/>
        <color indexed="8"/>
        <rFont val="Arial"/>
        <family val="2"/>
      </rPr>
      <t>O4 mezőben</t>
    </r>
    <r>
      <rPr>
        <u val="single"/>
        <sz val="14"/>
        <color indexed="8"/>
        <rFont val="Arial"/>
        <family val="2"/>
      </rPr>
      <t xml:space="preserve"> láthatja mennyi még a felhasználható kerete</t>
    </r>
    <r>
      <rPr>
        <sz val="14"/>
        <color indexed="8"/>
        <rFont val="Arial"/>
        <family val="2"/>
      </rPr>
      <t xml:space="preserve">! Az egyes juttatási elemek sorában az M oszlopban megjelenik az az összeg, ami még a felhasználható keretből az adott elemnél beírható a H oszlopba az </t>
    </r>
    <r>
      <rPr>
        <i/>
        <sz val="14"/>
        <color indexed="8"/>
        <rFont val="Arial"/>
        <family val="2"/>
      </rPr>
      <t>ott szereplő összegen felül</t>
    </r>
    <r>
      <rPr>
        <sz val="14"/>
        <color indexed="8"/>
        <rFont val="Arial"/>
        <family val="2"/>
      </rPr>
      <t>. 
A táblázat mellett  a kitöltés függvényében megjelenhetnek további tájékoztató adatok is a Q-T oszlopokban 
Amennyiben valamennyi kék mezőt hibátlanul kitöltött, keretét teljes egészében felhasználta, a jobb felső részen, keretösszeg (M6 mező)kiírás jelzi, hogy "</t>
    </r>
    <r>
      <rPr>
        <b/>
        <sz val="14"/>
        <color indexed="60"/>
        <rFont val="Arial"/>
        <family val="2"/>
      </rPr>
      <t>NYOMTATHATÓ A NYILATKOZAT !</t>
    </r>
    <r>
      <rPr>
        <sz val="14"/>
        <color indexed="8"/>
        <rFont val="Arial"/>
        <family val="2"/>
      </rPr>
      <t xml:space="preserve">" </t>
    </r>
  </si>
  <si>
    <r>
      <t xml:space="preserve">**A SZÉP Kártya választása esetén mindenképpen </t>
    </r>
    <r>
      <rPr>
        <b/>
        <i/>
        <u val="single"/>
        <sz val="14"/>
        <color indexed="8"/>
        <rFont val="Arial"/>
        <family val="2"/>
      </rPr>
      <t>ki kell töltenie a H6 mezőt,</t>
    </r>
    <r>
      <rPr>
        <b/>
        <i/>
        <sz val="14"/>
        <color indexed="8"/>
        <rFont val="Arial"/>
        <family val="2"/>
      </rPr>
      <t xml:space="preserve"> hogy melyik bankkal kötött SZÉP Kártya szerződést, amennyiben ezt nem teszi meg, akkor a C31 mezőben figyelmeztetetés jelenik meg és hibaüzenet nélkül nem tudja kinyomtatni a nyilatkozatát. 
</t>
    </r>
    <r>
      <rPr>
        <b/>
        <u val="single"/>
        <sz val="14"/>
        <color indexed="8"/>
        <rFont val="Arial"/>
        <family val="2"/>
      </rPr>
      <t xml:space="preserve">2019. évben kedvezményes adózással (1,345) választható tétel </t>
    </r>
    <r>
      <rPr>
        <b/>
        <i/>
        <sz val="14"/>
        <color indexed="8"/>
        <rFont val="Arial"/>
        <family val="2"/>
      </rPr>
      <t>szállás alszámlánál 225eFt, vendéglátás alszámlánál 150eFt, szabadidő alszámlánál 75eFt, Ebbe bele kell számítani a 2019.évben  más munkáltatótól 2019. évben kapott.SZÉP juttatást (D oszlopba be is kell írni) és a vendéglátás alszámla esetén az alanyi juttatás éves keretét is.</t>
    </r>
  </si>
  <si>
    <t>Bruttó keret/szorzó</t>
  </si>
  <si>
    <t>Felhasználható/szorzó</t>
  </si>
  <si>
    <t>Naptári évben bármely okból keletkező maradványösszeg VBKJ megváltásként készpénzben kerül elszámolásra és kifizetésre.</t>
  </si>
  <si>
    <t>VBKJ KÉSZPÉNZ**</t>
  </si>
  <si>
    <t>LAKÁSCÉLÚ TÁMOGATÁS**</t>
  </si>
  <si>
    <t>MOBILITÁS CÉLÚ LAKHATÁSI TÁMOGATÁS**</t>
  </si>
  <si>
    <t>DIÁKHITEL TÖRLESZTÉS TÁMOGATÁS**</t>
  </si>
  <si>
    <t>KÖZLEKEDÉSI HOZZÁJÁRULÁS (HELYI BÉRLET)**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</si>
</sst>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_F_t"/>
    <numFmt numFmtId="166" formatCode="#,##0.00\ &quot;Ft&quot;"/>
    <numFmt numFmtId="167" formatCode="0.000"/>
    <numFmt numFmtId="168" formatCode="0.000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-40E]yyyy\.\ mmmm\ d\."/>
    <numFmt numFmtId="173" formatCode="#,##0\ _F_t"/>
    <numFmt numFmtId="174" formatCode="#,##0.0\ &quot;Ft&quot;"/>
    <numFmt numFmtId="175" formatCode="[$€-2]\ #\ ##,000_);[Red]\([$€-2]\ #\ ##,000\)"/>
    <numFmt numFmtId="176" formatCode="########"/>
    <numFmt numFmtId="177" formatCode="00000000\-0\-00"/>
    <numFmt numFmtId="178" formatCode="\8#######"/>
    <numFmt numFmtId="179" formatCode="0000000000"/>
    <numFmt numFmtId="180" formatCode="[$¥€-2]\ #\ ##,000_);[Red]\([$€-2]\ #\ ##,000\)"/>
    <numFmt numFmtId="181" formatCode="&quot;H-&quot;0000"/>
    <numFmt numFmtId="182" formatCode="#,##0.0000\ &quot;Ft&quot;"/>
    <numFmt numFmtId="183" formatCode="#,##0.000\ &quot;Ft&quot;"/>
    <numFmt numFmtId="184" formatCode="yyyy/mm/dd;@"/>
  </numFmts>
  <fonts count="19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1"/>
      <color indexed="53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2"/>
      <color indexed="54"/>
      <name val="Arial"/>
      <family val="2"/>
    </font>
    <font>
      <b/>
      <sz val="12"/>
      <color indexed="53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43"/>
      <name val="Arial"/>
      <family val="2"/>
    </font>
    <font>
      <b/>
      <sz val="11"/>
      <color indexed="18"/>
      <name val="Arial"/>
      <family val="2"/>
    </font>
    <font>
      <sz val="11"/>
      <name val="Times New Roman"/>
      <family val="1"/>
    </font>
    <font>
      <b/>
      <i/>
      <sz val="12"/>
      <color indexed="18"/>
      <name val="Arial"/>
      <family val="2"/>
    </font>
    <font>
      <b/>
      <sz val="12"/>
      <name val="Times New Roman"/>
      <family val="1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6"/>
      <color indexed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name val="Times New Roman"/>
      <family val="1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8"/>
      <name val="Arial"/>
      <family val="2"/>
    </font>
    <font>
      <b/>
      <i/>
      <sz val="11"/>
      <name val="Arial"/>
      <family val="2"/>
    </font>
    <font>
      <b/>
      <i/>
      <sz val="14"/>
      <color indexed="8"/>
      <name val="Arial"/>
      <family val="2"/>
    </font>
    <font>
      <b/>
      <i/>
      <u val="single"/>
      <sz val="14"/>
      <color indexed="8"/>
      <name val="Arial"/>
      <family val="2"/>
    </font>
    <font>
      <b/>
      <u val="single"/>
      <sz val="14"/>
      <color indexed="60"/>
      <name val="Arial"/>
      <family val="2"/>
    </font>
    <font>
      <u val="double"/>
      <sz val="22"/>
      <color indexed="10"/>
      <name val="Arial"/>
      <family val="2"/>
    </font>
    <font>
      <b/>
      <u val="double"/>
      <sz val="22"/>
      <color indexed="10"/>
      <name val="Arial"/>
      <family val="2"/>
    </font>
    <font>
      <b/>
      <sz val="11"/>
      <color indexed="53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i/>
      <sz val="11"/>
      <name val="Times New Roman"/>
      <family val="1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i/>
      <sz val="10"/>
      <name val="Arial"/>
      <family val="2"/>
    </font>
    <font>
      <b/>
      <i/>
      <sz val="20"/>
      <color indexed="10"/>
      <name val="Arial"/>
      <family val="2"/>
    </font>
    <font>
      <sz val="10"/>
      <color indexed="8"/>
      <name val="Arial"/>
      <family val="2"/>
    </font>
    <font>
      <b/>
      <u val="single"/>
      <sz val="14"/>
      <name val="Arial"/>
      <family val="2"/>
    </font>
    <font>
      <b/>
      <vertAlign val="superscript"/>
      <sz val="14"/>
      <name val="Arial"/>
      <family val="2"/>
    </font>
    <font>
      <b/>
      <sz val="11.5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60"/>
      <name val="Arial"/>
      <family val="2"/>
    </font>
    <font>
      <u val="single"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6"/>
      <color indexed="60"/>
      <name val="Arial"/>
      <family val="2"/>
    </font>
    <font>
      <b/>
      <sz val="11"/>
      <color indexed="60"/>
      <name val="Arial"/>
      <family val="2"/>
    </font>
    <font>
      <sz val="9.5"/>
      <color indexed="63"/>
      <name val="Arial"/>
      <family val="2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b/>
      <sz val="14"/>
      <color indexed="30"/>
      <name val="Arial"/>
      <family val="2"/>
    </font>
    <font>
      <b/>
      <i/>
      <sz val="12"/>
      <color indexed="30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6"/>
      <color indexed="30"/>
      <name val="Arial"/>
      <family val="2"/>
    </font>
    <font>
      <b/>
      <sz val="10"/>
      <color indexed="62"/>
      <name val="Arial"/>
      <family val="2"/>
    </font>
    <font>
      <b/>
      <sz val="10"/>
      <color indexed="40"/>
      <name val="Arial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u val="single"/>
      <sz val="12"/>
      <color indexed="30"/>
      <name val="Arial"/>
      <family val="2"/>
    </font>
    <font>
      <b/>
      <u val="single"/>
      <sz val="14"/>
      <color indexed="10"/>
      <name val="Arial"/>
      <family val="2"/>
    </font>
    <font>
      <b/>
      <sz val="12"/>
      <color indexed="60"/>
      <name val="Arial"/>
      <family val="2"/>
    </font>
    <font>
      <b/>
      <i/>
      <sz val="10"/>
      <color indexed="30"/>
      <name val="Arial"/>
      <family val="2"/>
    </font>
    <font>
      <b/>
      <sz val="12"/>
      <color indexed="55"/>
      <name val="Arial"/>
      <family val="2"/>
    </font>
    <font>
      <sz val="10"/>
      <color indexed="22"/>
      <name val="Arial"/>
      <family val="2"/>
    </font>
    <font>
      <b/>
      <sz val="12"/>
      <color indexed="30"/>
      <name val="Arial"/>
      <family val="2"/>
    </font>
    <font>
      <b/>
      <sz val="16"/>
      <color indexed="60"/>
      <name val="Arial"/>
      <family val="2"/>
    </font>
    <font>
      <sz val="12"/>
      <color indexed="8"/>
      <name val="Arial"/>
      <family val="2"/>
    </font>
    <font>
      <b/>
      <sz val="11"/>
      <color indexed="30"/>
      <name val="Arial"/>
      <family val="2"/>
    </font>
    <font>
      <i/>
      <sz val="11"/>
      <color indexed="60"/>
      <name val="Arial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8"/>
      <color indexed="8"/>
      <name val="Albertus Extra Bold"/>
      <family val="2"/>
    </font>
    <font>
      <b/>
      <sz val="13"/>
      <color indexed="8"/>
      <name val="Arial"/>
      <family val="2"/>
    </font>
    <font>
      <b/>
      <sz val="18"/>
      <color indexed="8"/>
      <name val="Arial"/>
      <family val="2"/>
    </font>
    <font>
      <b/>
      <sz val="13"/>
      <color indexed="60"/>
      <name val="Arial"/>
      <family val="2"/>
    </font>
    <font>
      <b/>
      <u val="single"/>
      <sz val="11.5"/>
      <color indexed="60"/>
      <name val="Arial"/>
      <family val="2"/>
    </font>
    <font>
      <b/>
      <sz val="16"/>
      <color indexed="30"/>
      <name val="Times New Roman"/>
      <family val="1"/>
    </font>
    <font>
      <b/>
      <sz val="13"/>
      <color indexed="10"/>
      <name val="Arial"/>
      <family val="2"/>
    </font>
    <font>
      <b/>
      <i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9" tint="-0.24997000396251678"/>
      <name val="Arial"/>
      <family val="2"/>
    </font>
    <font>
      <sz val="10"/>
      <color rgb="FFC00000"/>
      <name val="Arial"/>
      <family val="2"/>
    </font>
    <font>
      <b/>
      <sz val="12"/>
      <color theme="1" tint="0.04998999834060669"/>
      <name val="Arial"/>
      <family val="2"/>
    </font>
    <font>
      <b/>
      <i/>
      <sz val="10"/>
      <color theme="1" tint="0.04998999834060669"/>
      <name val="Arial"/>
      <family val="2"/>
    </font>
    <font>
      <b/>
      <i/>
      <sz val="12"/>
      <color theme="1" tint="0.04998999834060669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6"/>
      <color rgb="FFC00000"/>
      <name val="Arial"/>
      <family val="2"/>
    </font>
    <font>
      <b/>
      <sz val="11"/>
      <color rgb="FFC00000"/>
      <name val="Arial"/>
      <family val="2"/>
    </font>
    <font>
      <sz val="9.5"/>
      <color rgb="FF333333"/>
      <name val="Arial"/>
      <family val="2"/>
    </font>
    <font>
      <sz val="10"/>
      <color theme="6" tint="-0.4999699890613556"/>
      <name val="Times New Roman"/>
      <family val="1"/>
    </font>
    <font>
      <sz val="10"/>
      <color rgb="FFFF0000"/>
      <name val="Times New Roman"/>
      <family val="1"/>
    </font>
    <font>
      <b/>
      <sz val="14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u val="single"/>
      <sz val="11"/>
      <color rgb="FFFF0000"/>
      <name val="Arial"/>
      <family val="2"/>
    </font>
    <font>
      <b/>
      <sz val="16"/>
      <color rgb="FF0070C0"/>
      <name val="Arial"/>
      <family val="2"/>
    </font>
    <font>
      <b/>
      <sz val="10"/>
      <color theme="4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C00000"/>
      <name val="Arial"/>
      <family val="2"/>
    </font>
    <font>
      <b/>
      <sz val="10"/>
      <color rgb="FF00B050"/>
      <name val="Arial"/>
      <family val="2"/>
    </font>
    <font>
      <b/>
      <u val="single"/>
      <sz val="12"/>
      <color rgb="FF0070C0"/>
      <name val="Arial"/>
      <family val="2"/>
    </font>
    <font>
      <b/>
      <u val="single"/>
      <sz val="14"/>
      <color rgb="FFFF0000"/>
      <name val="Arial"/>
      <family val="2"/>
    </font>
    <font>
      <b/>
      <sz val="12"/>
      <color rgb="FFC00000"/>
      <name val="Arial"/>
      <family val="2"/>
    </font>
    <font>
      <b/>
      <i/>
      <sz val="10"/>
      <color rgb="FF0070C0"/>
      <name val="Arial"/>
      <family val="2"/>
    </font>
    <font>
      <b/>
      <sz val="12"/>
      <color theme="0" tint="-0.3499799966812134"/>
      <name val="Arial"/>
      <family val="2"/>
    </font>
    <font>
      <sz val="10"/>
      <color theme="0" tint="-0.1499900072813034"/>
      <name val="Arial"/>
      <family val="2"/>
    </font>
    <font>
      <b/>
      <sz val="12"/>
      <color rgb="FF0070C0"/>
      <name val="Arial"/>
      <family val="2"/>
    </font>
    <font>
      <b/>
      <sz val="16"/>
      <color rgb="FFC00000"/>
      <name val="Arial"/>
      <family val="2"/>
    </font>
    <font>
      <sz val="12"/>
      <color theme="1"/>
      <name val="Arial"/>
      <family val="2"/>
    </font>
    <font>
      <b/>
      <sz val="11"/>
      <color rgb="FF0070C0"/>
      <name val="Arial"/>
      <family val="2"/>
    </font>
    <font>
      <i/>
      <sz val="11"/>
      <color rgb="FFC00000"/>
      <name val="Arial"/>
      <family val="2"/>
    </font>
    <font>
      <b/>
      <sz val="11"/>
      <color rgb="FFC00000"/>
      <name val="Calibri"/>
      <family val="2"/>
    </font>
    <font>
      <b/>
      <sz val="16"/>
      <color rgb="FFFF0000"/>
      <name val="Arial"/>
      <family val="2"/>
    </font>
    <font>
      <b/>
      <sz val="18"/>
      <color theme="1"/>
      <name val="Albertus Extra Bold"/>
      <family val="2"/>
    </font>
    <font>
      <b/>
      <sz val="13"/>
      <color theme="1"/>
      <name val="Arial"/>
      <family val="2"/>
    </font>
    <font>
      <b/>
      <sz val="14"/>
      <color rgb="FF000000"/>
      <name val="Arial"/>
      <family val="2"/>
    </font>
    <font>
      <b/>
      <sz val="18"/>
      <color theme="1"/>
      <name val="Arial"/>
      <family val="2"/>
    </font>
    <font>
      <b/>
      <i/>
      <sz val="20"/>
      <color theme="1"/>
      <name val="Arial"/>
      <family val="2"/>
    </font>
    <font>
      <b/>
      <sz val="13"/>
      <color rgb="FFFF0000"/>
      <name val="Arial"/>
      <family val="2"/>
    </font>
    <font>
      <b/>
      <i/>
      <sz val="14"/>
      <color theme="1"/>
      <name val="Arial"/>
      <family val="2"/>
    </font>
    <font>
      <b/>
      <sz val="16"/>
      <color rgb="FF0070C0"/>
      <name val="Times New Roman"/>
      <family val="1"/>
    </font>
    <font>
      <sz val="14"/>
      <color theme="1"/>
      <name val="Arial"/>
      <family val="2"/>
    </font>
    <font>
      <b/>
      <sz val="13"/>
      <color rgb="FFC00000"/>
      <name val="Arial"/>
      <family val="2"/>
    </font>
    <font>
      <b/>
      <u val="single"/>
      <sz val="11.5"/>
      <color rgb="FFC00000"/>
      <name val="Arial"/>
      <family val="2"/>
    </font>
    <font>
      <b/>
      <sz val="12"/>
      <color theme="5" tint="-0.24997000396251678"/>
      <name val="Arial"/>
      <family val="2"/>
    </font>
    <font>
      <b/>
      <sz val="14"/>
      <color rgb="FFFF0000"/>
      <name val="Arial"/>
      <family val="2"/>
    </font>
    <font>
      <u val="double"/>
      <sz val="22"/>
      <color rgb="FFFF0000"/>
      <name val="Arial"/>
      <family val="2"/>
    </font>
    <font>
      <b/>
      <sz val="14"/>
      <color rgb="FFC00000"/>
      <name val="Arial"/>
      <family val="2"/>
    </font>
    <font>
      <b/>
      <sz val="8"/>
      <name val="Arial"/>
      <family val="2"/>
    </font>
  </fonts>
  <fills count="9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 tint="-0.1499900072813034"/>
        <bgColor indexed="64"/>
      </patternFill>
    </fill>
    <fill>
      <gradientFill type="path">
        <stop position="0">
          <color theme="0"/>
        </stop>
        <stop position="1">
          <color theme="9" tint="0.5999900102615356"/>
        </stop>
      </gradientFill>
    </fill>
    <fill>
      <gradientFill type="path">
        <stop position="0">
          <color theme="0"/>
        </stop>
        <stop position="1">
          <color theme="9" tint="0.5999900102615356"/>
        </stop>
      </gradient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6" tint="0.7999799847602844"/>
        <bgColor indexed="64"/>
      </pattern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rgb="FFFFFFCC"/>
        </stop>
        <stop position="1">
          <color theme="0" tint="-0.0509600006043911"/>
        </stop>
      </gradientFill>
    </fill>
    <fill>
      <patternFill patternType="solid">
        <fgColor rgb="FFECECE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 tint="-0.349979996681213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patternFill patternType="solid">
        <fgColor rgb="FFFFC0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type="path" left="1" right="1">
        <stop position="0">
          <color theme="0"/>
        </stop>
        <stop position="1">
          <color rgb="FFFFFFCC"/>
        </stop>
      </gradientFill>
    </fill>
    <fill>
      <gradientFill type="path" left="1" right="1">
        <stop position="0">
          <color theme="0"/>
        </stop>
        <stop position="1">
          <color rgb="FFFFFFCC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>
        <color rgb="FF0070C0"/>
      </left>
      <right>
        <color indexed="63"/>
      </right>
      <top>
        <color indexed="63"/>
      </top>
      <bottom style="double">
        <color rgb="FF0070C0"/>
      </bottom>
    </border>
    <border>
      <left>
        <color indexed="63"/>
      </left>
      <right>
        <color indexed="63"/>
      </right>
      <top>
        <color indexed="63"/>
      </top>
      <bottom style="double">
        <color rgb="FF0070C0"/>
      </bottom>
    </border>
    <border>
      <left>
        <color indexed="63"/>
      </left>
      <right style="double">
        <color rgb="FF0070C0"/>
      </right>
      <top>
        <color indexed="63"/>
      </top>
      <bottom style="double">
        <color rgb="FF0070C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rgb="FF0070C0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rgb="FF0070C0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>
        <color rgb="FF0070C0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>
        <color rgb="FF0070C0"/>
      </right>
      <top style="thin"/>
      <bottom style="medium"/>
    </border>
    <border>
      <left>
        <color indexed="63"/>
      </left>
      <right style="dashed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double">
        <color rgb="FF0070C0"/>
      </left>
      <right style="thin"/>
      <top style="double">
        <color rgb="FF0070C0"/>
      </top>
      <bottom style="thin"/>
    </border>
    <border>
      <left style="thin"/>
      <right style="thin"/>
      <top style="double">
        <color rgb="FF0070C0"/>
      </top>
      <bottom style="thin"/>
    </border>
    <border>
      <left style="thin"/>
      <right style="double">
        <color rgb="FF0070C0"/>
      </right>
      <top style="double">
        <color rgb="FF0070C0"/>
      </top>
      <bottom style="thin"/>
    </border>
    <border>
      <left style="medium"/>
      <right>
        <color indexed="63"/>
      </right>
      <top style="thin"/>
      <bottom style="thin"/>
    </border>
    <border>
      <left style="double">
        <color rgb="FF0070C0"/>
      </left>
      <right>
        <color indexed="63"/>
      </right>
      <top style="medium"/>
      <bottom style="medium"/>
    </border>
    <border>
      <left>
        <color indexed="63"/>
      </left>
      <right style="double">
        <color rgb="FF0070C0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 style="dashed"/>
      <top>
        <color indexed="63"/>
      </top>
      <bottom style="dashDot"/>
    </border>
    <border>
      <left style="double">
        <color rgb="FF0070C0"/>
      </left>
      <right style="thin"/>
      <top style="thin"/>
      <bottom style="thin"/>
    </border>
    <border>
      <left style="thin"/>
      <right style="double">
        <color rgb="FF0070C0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6" fillId="19" borderId="1" applyNumberFormat="0" applyAlignment="0" applyProtection="0"/>
    <xf numFmtId="0" fontId="127" fillId="0" borderId="0" applyNumberFormat="0" applyFill="0" applyBorder="0" applyAlignment="0" applyProtection="0"/>
    <xf numFmtId="0" fontId="128" fillId="0" borderId="2" applyNumberFormat="0" applyFill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0" fillId="0" borderId="0" applyNumberFormat="0" applyFill="0" applyBorder="0" applyAlignment="0" applyProtection="0"/>
    <xf numFmtId="0" fontId="13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0" fillId="21" borderId="7" applyNumberFormat="0" applyFont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5" fillId="26" borderId="0" applyNumberFormat="0" applyBorder="0" applyAlignment="0" applyProtection="0"/>
    <xf numFmtId="0" fontId="125" fillId="27" borderId="0" applyNumberFormat="0" applyBorder="0" applyAlignment="0" applyProtection="0"/>
    <xf numFmtId="0" fontId="134" fillId="28" borderId="0" applyNumberFormat="0" applyBorder="0" applyAlignment="0" applyProtection="0"/>
    <xf numFmtId="0" fontId="135" fillId="29" borderId="8" applyNumberFormat="0" applyAlignment="0" applyProtection="0"/>
    <xf numFmtId="0" fontId="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24" fillId="0" borderId="0">
      <alignment/>
      <protection/>
    </xf>
    <xf numFmtId="0" fontId="1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30" borderId="0" applyNumberFormat="0" applyBorder="0" applyAlignment="0" applyProtection="0"/>
    <xf numFmtId="0" fontId="139" fillId="31" borderId="0" applyNumberFormat="0" applyBorder="0" applyAlignment="0" applyProtection="0"/>
    <xf numFmtId="0" fontId="140" fillId="29" borderId="1" applyNumberFormat="0" applyAlignment="0" applyProtection="0"/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Border="1" applyAlignment="1" applyProtection="1">
      <alignment vertical="center"/>
      <protection hidden="1"/>
    </xf>
    <xf numFmtId="164" fontId="0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/>
    </xf>
    <xf numFmtId="0" fontId="0" fillId="32" borderId="0" xfId="0" applyFont="1" applyFill="1" applyBorder="1" applyAlignment="1" applyProtection="1">
      <alignment vertical="center"/>
      <protection hidden="1"/>
    </xf>
    <xf numFmtId="0" fontId="14" fillId="33" borderId="10" xfId="0" applyFont="1" applyFill="1" applyBorder="1" applyAlignment="1" applyProtection="1">
      <alignment horizontal="center"/>
      <protection hidden="1"/>
    </xf>
    <xf numFmtId="0" fontId="14" fillId="33" borderId="11" xfId="0" applyFont="1" applyFill="1" applyBorder="1" applyAlignment="1" applyProtection="1">
      <alignment horizontal="center"/>
      <protection hidden="1"/>
    </xf>
    <xf numFmtId="0" fontId="14" fillId="33" borderId="12" xfId="0" applyFont="1" applyFill="1" applyBorder="1" applyAlignment="1" applyProtection="1">
      <alignment horizontal="center"/>
      <protection hidden="1"/>
    </xf>
    <xf numFmtId="164" fontId="9" fillId="33" borderId="11" xfId="0" applyNumberFormat="1" applyFont="1" applyFill="1" applyBorder="1" applyAlignment="1" applyProtection="1">
      <alignment horizontal="right" vertical="center"/>
      <protection hidden="1"/>
    </xf>
    <xf numFmtId="164" fontId="9" fillId="33" borderId="12" xfId="0" applyNumberFormat="1" applyFont="1" applyFill="1" applyBorder="1" applyAlignment="1" applyProtection="1">
      <alignment horizontal="right" vertical="center"/>
      <protection hidden="1"/>
    </xf>
    <xf numFmtId="0" fontId="14" fillId="32" borderId="1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164" fontId="9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vertical="top" wrapText="1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 applyProtection="1">
      <alignment vertical="center" wrapText="1"/>
      <protection hidden="1"/>
    </xf>
    <xf numFmtId="0" fontId="14" fillId="33" borderId="15" xfId="0" applyFont="1" applyFill="1" applyBorder="1" applyAlignment="1" applyProtection="1">
      <alignment horizontal="center"/>
      <protection hidden="1"/>
    </xf>
    <xf numFmtId="164" fontId="9" fillId="33" borderId="15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/>
      <protection hidden="1"/>
    </xf>
    <xf numFmtId="164" fontId="17" fillId="0" borderId="0" xfId="0" applyNumberFormat="1" applyFont="1" applyBorder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16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32" borderId="16" xfId="0" applyFont="1" applyFill="1" applyBorder="1" applyAlignment="1" applyProtection="1">
      <alignment horizontal="center" vertical="center"/>
      <protection hidden="1"/>
    </xf>
    <xf numFmtId="0" fontId="14" fillId="33" borderId="17" xfId="0" applyFont="1" applyFill="1" applyBorder="1" applyAlignment="1" applyProtection="1">
      <alignment horizontal="center"/>
      <protection hidden="1"/>
    </xf>
    <xf numFmtId="0" fontId="14" fillId="33" borderId="18" xfId="0" applyFont="1" applyFill="1" applyBorder="1" applyAlignment="1" applyProtection="1">
      <alignment horizont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/>
      <protection hidden="1"/>
    </xf>
    <xf numFmtId="164" fontId="9" fillId="33" borderId="20" xfId="0" applyNumberFormat="1" applyFont="1" applyFill="1" applyBorder="1" applyAlignment="1" applyProtection="1">
      <alignment horizontal="right" vertical="center"/>
      <protection hidden="1"/>
    </xf>
    <xf numFmtId="164" fontId="9" fillId="33" borderId="21" xfId="0" applyNumberFormat="1" applyFont="1" applyFill="1" applyBorder="1" applyAlignment="1" applyProtection="1">
      <alignment horizontal="right" vertical="center"/>
      <protection hidden="1"/>
    </xf>
    <xf numFmtId="164" fontId="9" fillId="33" borderId="19" xfId="0" applyNumberFormat="1" applyFont="1" applyFill="1" applyBorder="1" applyAlignment="1" applyProtection="1">
      <alignment horizontal="right" vertical="center"/>
      <protection hidden="1"/>
    </xf>
    <xf numFmtId="164" fontId="7" fillId="4" borderId="10" xfId="0" applyNumberFormat="1" applyFont="1" applyFill="1" applyBorder="1" applyAlignment="1" applyProtection="1">
      <alignment vertical="center"/>
      <protection hidden="1"/>
    </xf>
    <xf numFmtId="0" fontId="7" fillId="4" borderId="10" xfId="0" applyFont="1" applyFill="1" applyBorder="1" applyAlignment="1" applyProtection="1">
      <alignment horizontal="center" vertical="center" wrapText="1"/>
      <protection hidden="1"/>
    </xf>
    <xf numFmtId="164" fontId="7" fillId="4" borderId="12" xfId="0" applyNumberFormat="1" applyFont="1" applyFill="1" applyBorder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10" fillId="34" borderId="22" xfId="0" applyFont="1" applyFill="1" applyBorder="1" applyAlignment="1" applyProtection="1">
      <alignment horizontal="left" vertical="center"/>
      <protection hidden="1"/>
    </xf>
    <xf numFmtId="164" fontId="12" fillId="34" borderId="13" xfId="0" applyNumberFormat="1" applyFont="1" applyFill="1" applyBorder="1" applyAlignment="1" applyProtection="1">
      <alignment horizontal="center" vertical="center"/>
      <protection hidden="1"/>
    </xf>
    <xf numFmtId="164" fontId="7" fillId="4" borderId="10" xfId="0" applyNumberFormat="1" applyFont="1" applyFill="1" applyBorder="1" applyAlignment="1" applyProtection="1">
      <alignment/>
      <protection hidden="1"/>
    </xf>
    <xf numFmtId="0" fontId="7" fillId="4" borderId="20" xfId="0" applyFont="1" applyFill="1" applyBorder="1" applyAlignment="1" applyProtection="1">
      <alignment horizontal="right"/>
      <protection hidden="1"/>
    </xf>
    <xf numFmtId="0" fontId="7" fillId="4" borderId="23" xfId="0" applyFont="1" applyFill="1" applyBorder="1" applyAlignment="1" applyProtection="1">
      <alignment horizontal="center"/>
      <protection hidden="1"/>
    </xf>
    <xf numFmtId="164" fontId="26" fillId="0" borderId="24" xfId="0" applyNumberFormat="1" applyFont="1" applyFill="1" applyBorder="1" applyAlignment="1" applyProtection="1">
      <alignment/>
      <protection hidden="1" locked="0"/>
    </xf>
    <xf numFmtId="164" fontId="26" fillId="0" borderId="24" xfId="0" applyNumberFormat="1" applyFont="1" applyFill="1" applyBorder="1" applyAlignment="1" applyProtection="1">
      <alignment/>
      <protection hidden="1"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14" fillId="0" borderId="18" xfId="0" applyFont="1" applyFill="1" applyBorder="1" applyAlignment="1" applyProtection="1">
      <alignment horizontal="center" vertical="center"/>
      <protection hidden="1"/>
    </xf>
    <xf numFmtId="0" fontId="12" fillId="35" borderId="25" xfId="0" applyFont="1" applyFill="1" applyBorder="1" applyAlignment="1" applyProtection="1">
      <alignment vertical="center"/>
      <protection hidden="1"/>
    </xf>
    <xf numFmtId="164" fontId="10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25" xfId="0" applyFont="1" applyFill="1" applyBorder="1" applyAlignment="1" applyProtection="1">
      <alignment horizontal="center" vertical="center"/>
      <protection hidden="1"/>
    </xf>
    <xf numFmtId="0" fontId="7" fillId="35" borderId="25" xfId="0" applyFont="1" applyFill="1" applyBorder="1" applyAlignment="1" applyProtection="1">
      <alignment horizontal="center" vertical="center"/>
      <protection hidden="1"/>
    </xf>
    <xf numFmtId="164" fontId="21" fillId="35" borderId="25" xfId="0" applyNumberFormat="1" applyFont="1" applyFill="1" applyBorder="1" applyAlignment="1" applyProtection="1">
      <alignment vertical="center" wrapText="1"/>
      <protection hidden="1"/>
    </xf>
    <xf numFmtId="0" fontId="8" fillId="32" borderId="26" xfId="0" applyFont="1" applyFill="1" applyBorder="1" applyAlignment="1" applyProtection="1">
      <alignment horizontal="center" vertical="center"/>
      <protection hidden="1"/>
    </xf>
    <xf numFmtId="0" fontId="8" fillId="32" borderId="27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27" fillId="32" borderId="0" xfId="0" applyFont="1" applyFill="1" applyAlignment="1" applyProtection="1">
      <alignment/>
      <protection hidden="1"/>
    </xf>
    <xf numFmtId="0" fontId="24" fillId="0" borderId="0" xfId="0" applyFont="1" applyAlignment="1">
      <alignment/>
    </xf>
    <xf numFmtId="0" fontId="6" fillId="0" borderId="0" xfId="0" applyFont="1" applyBorder="1" applyAlignment="1" applyProtection="1">
      <alignment vertical="top"/>
      <protection hidden="1"/>
    </xf>
    <xf numFmtId="0" fontId="25" fillId="35" borderId="25" xfId="0" applyFont="1" applyFill="1" applyBorder="1" applyAlignment="1" applyProtection="1">
      <alignment vertical="center"/>
      <protection hidden="1"/>
    </xf>
    <xf numFmtId="0" fontId="25" fillId="35" borderId="28" xfId="0" applyFont="1" applyFill="1" applyBorder="1" applyAlignment="1" applyProtection="1">
      <alignment vertical="center"/>
      <protection hidden="1"/>
    </xf>
    <xf numFmtId="0" fontId="19" fillId="4" borderId="29" xfId="43" applyFont="1" applyFill="1" applyBorder="1" applyAlignment="1" applyProtection="1">
      <alignment horizontal="center" wrapText="1"/>
      <protection hidden="1"/>
    </xf>
    <xf numFmtId="164" fontId="0" fillId="0" borderId="0" xfId="0" applyNumberFormat="1" applyAlignment="1" applyProtection="1">
      <alignment/>
      <protection hidden="1"/>
    </xf>
    <xf numFmtId="0" fontId="24" fillId="0" borderId="0" xfId="0" applyFont="1" applyAlignment="1">
      <alignment wrapText="1"/>
    </xf>
    <xf numFmtId="0" fontId="1" fillId="0" borderId="0" xfId="43" applyAlignment="1" applyProtection="1">
      <alignment/>
      <protection/>
    </xf>
    <xf numFmtId="0" fontId="4" fillId="0" borderId="0" xfId="0" applyFont="1" applyAlignment="1">
      <alignment horizontal="justify" vertical="center"/>
    </xf>
    <xf numFmtId="0" fontId="8" fillId="0" borderId="30" xfId="0" applyFont="1" applyBorder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horizontal="center" vertical="center" wrapText="1"/>
      <protection hidden="1"/>
    </xf>
    <xf numFmtId="2" fontId="5" fillId="0" borderId="0" xfId="0" applyNumberFormat="1" applyFont="1" applyBorder="1" applyAlignment="1" applyProtection="1">
      <alignment horizontal="left" vertical="center" wrapText="1"/>
      <protection hidden="1"/>
    </xf>
    <xf numFmtId="0" fontId="6" fillId="0" borderId="22" xfId="0" applyFont="1" applyBorder="1" applyAlignment="1" applyProtection="1">
      <alignment vertical="center" wrapText="1"/>
      <protection hidden="1"/>
    </xf>
    <xf numFmtId="0" fontId="8" fillId="32" borderId="31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8" fillId="0" borderId="32" xfId="0" applyFont="1" applyFill="1" applyBorder="1" applyAlignment="1" applyProtection="1">
      <alignment horizontal="left" vertical="center"/>
      <protection hidden="1"/>
    </xf>
    <xf numFmtId="14" fontId="7" fillId="0" borderId="0" xfId="0" applyNumberFormat="1" applyFont="1" applyFill="1" applyBorder="1" applyAlignment="1" applyProtection="1">
      <alignment horizontal="center" vertical="center"/>
      <protection hidden="1"/>
    </xf>
    <xf numFmtId="164" fontId="141" fillId="0" borderId="0" xfId="0" applyNumberFormat="1" applyFont="1" applyBorder="1" applyAlignment="1" applyProtection="1">
      <alignment vertical="center"/>
      <protection hidden="1"/>
    </xf>
    <xf numFmtId="0" fontId="142" fillId="0" borderId="0" xfId="0" applyFont="1" applyAlignment="1">
      <alignment/>
    </xf>
    <xf numFmtId="164" fontId="0" fillId="0" borderId="0" xfId="0" applyNumberFormat="1" applyAlignment="1">
      <alignment/>
    </xf>
    <xf numFmtId="0" fontId="143" fillId="0" borderId="0" xfId="0" applyFont="1" applyFill="1" applyBorder="1" applyAlignment="1" applyProtection="1">
      <alignment vertical="center"/>
      <protection hidden="1"/>
    </xf>
    <xf numFmtId="0" fontId="0" fillId="36" borderId="33" xfId="0" applyFont="1" applyFill="1" applyBorder="1" applyAlignment="1" applyProtection="1">
      <alignment horizontal="right" vertical="center"/>
      <protection hidden="1"/>
    </xf>
    <xf numFmtId="0" fontId="0" fillId="36" borderId="34" xfId="0" applyFont="1" applyFill="1" applyBorder="1" applyAlignment="1" applyProtection="1">
      <alignment horizontal="right" vertical="center"/>
      <protection hidden="1"/>
    </xf>
    <xf numFmtId="0" fontId="7" fillId="37" borderId="20" xfId="0" applyFont="1" applyFill="1" applyBorder="1" applyAlignment="1" applyProtection="1">
      <alignment horizontal="right" vertical="center"/>
      <protection hidden="1"/>
    </xf>
    <xf numFmtId="0" fontId="7" fillId="38" borderId="23" xfId="0" applyFont="1" applyFill="1" applyBorder="1" applyAlignment="1" applyProtection="1">
      <alignment horizontal="center" vertical="center"/>
      <protection hidden="1"/>
    </xf>
    <xf numFmtId="164" fontId="7" fillId="39" borderId="10" xfId="0" applyNumberFormat="1" applyFont="1" applyFill="1" applyBorder="1" applyAlignment="1" applyProtection="1">
      <alignment vertical="center"/>
      <protection hidden="1"/>
    </xf>
    <xf numFmtId="164" fontId="7" fillId="40" borderId="35" xfId="0" applyNumberFormat="1" applyFont="1" applyFill="1" applyBorder="1" applyAlignment="1" applyProtection="1">
      <alignment vertical="center"/>
      <protection hidden="1" locked="0"/>
    </xf>
    <xf numFmtId="0" fontId="7" fillId="41" borderId="10" xfId="0" applyFont="1" applyFill="1" applyBorder="1" applyAlignment="1" applyProtection="1">
      <alignment horizontal="center" vertical="center" wrapText="1"/>
      <protection hidden="1"/>
    </xf>
    <xf numFmtId="164" fontId="7" fillId="41" borderId="10" xfId="0" applyNumberFormat="1" applyFont="1" applyFill="1" applyBorder="1" applyAlignment="1" applyProtection="1">
      <alignment vertical="center"/>
      <protection hidden="1"/>
    </xf>
    <xf numFmtId="0" fontId="144" fillId="42" borderId="20" xfId="0" applyFont="1" applyFill="1" applyBorder="1" applyAlignment="1" applyProtection="1">
      <alignment horizontal="center" wrapText="1"/>
      <protection hidden="1"/>
    </xf>
    <xf numFmtId="164" fontId="145" fillId="43" borderId="23" xfId="43" applyNumberFormat="1" applyFont="1" applyFill="1" applyBorder="1" applyAlignment="1" applyProtection="1">
      <alignment vertical="center"/>
      <protection hidden="1"/>
    </xf>
    <xf numFmtId="0" fontId="146" fillId="44" borderId="34" xfId="0" applyFont="1" applyFill="1" applyBorder="1" applyAlignment="1" applyProtection="1">
      <alignment horizontal="left" vertical="center"/>
      <protection hidden="1"/>
    </xf>
    <xf numFmtId="164" fontId="146" fillId="44" borderId="36" xfId="0" applyNumberFormat="1" applyFont="1" applyFill="1" applyBorder="1" applyAlignment="1" applyProtection="1">
      <alignment horizontal="center" vertical="center"/>
      <protection hidden="1"/>
    </xf>
    <xf numFmtId="0" fontId="146" fillId="44" borderId="37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vertical="top"/>
      <protection hidden="1"/>
    </xf>
    <xf numFmtId="2" fontId="9" fillId="0" borderId="38" xfId="0" applyNumberFormat="1" applyFont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vertical="top"/>
      <protection hidden="1"/>
    </xf>
    <xf numFmtId="164" fontId="40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0" xfId="0" applyNumberFormat="1" applyFont="1" applyFill="1" applyBorder="1" applyAlignment="1" applyProtection="1">
      <alignment/>
      <protection hidden="1"/>
    </xf>
    <xf numFmtId="164" fontId="9" fillId="32" borderId="1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Alignment="1">
      <alignment wrapText="1"/>
    </xf>
    <xf numFmtId="0" fontId="147" fillId="0" borderId="0" xfId="0" applyFont="1" applyAlignment="1">
      <alignment vertical="top" wrapText="1"/>
    </xf>
    <xf numFmtId="164" fontId="148" fillId="41" borderId="12" xfId="0" applyNumberFormat="1" applyFont="1" applyFill="1" applyBorder="1" applyAlignment="1" applyProtection="1">
      <alignment horizontal="center" vertical="center" wrapText="1"/>
      <protection hidden="1"/>
    </xf>
    <xf numFmtId="164" fontId="149" fillId="0" borderId="0" xfId="0" applyNumberFormat="1" applyFont="1" applyAlignment="1" applyProtection="1">
      <alignment/>
      <protection hidden="1"/>
    </xf>
    <xf numFmtId="0" fontId="7" fillId="36" borderId="10" xfId="0" applyFont="1" applyFill="1" applyBorder="1" applyAlignment="1" applyProtection="1">
      <alignment horizontal="center" vertical="center"/>
      <protection hidden="1"/>
    </xf>
    <xf numFmtId="0" fontId="0" fillId="36" borderId="39" xfId="0" applyFont="1" applyFill="1" applyBorder="1" applyAlignment="1" applyProtection="1">
      <alignment horizontal="right" vertical="center"/>
      <protection hidden="1"/>
    </xf>
    <xf numFmtId="0" fontId="27" fillId="36" borderId="40" xfId="0" applyFont="1" applyFill="1" applyBorder="1" applyAlignment="1" applyProtection="1">
      <alignment/>
      <protection hidden="1"/>
    </xf>
    <xf numFmtId="0" fontId="0" fillId="36" borderId="40" xfId="0" applyFont="1" applyFill="1" applyBorder="1" applyAlignment="1" applyProtection="1">
      <alignment vertical="center"/>
      <protection hidden="1"/>
    </xf>
    <xf numFmtId="164" fontId="0" fillId="36" borderId="40" xfId="0" applyNumberFormat="1" applyFont="1" applyFill="1" applyBorder="1" applyAlignment="1" applyProtection="1">
      <alignment vertical="center"/>
      <protection hidden="1"/>
    </xf>
    <xf numFmtId="0" fontId="0" fillId="36" borderId="40" xfId="0" applyFont="1" applyFill="1" applyBorder="1" applyAlignment="1" applyProtection="1">
      <alignment horizontal="center" vertical="center"/>
      <protection hidden="1"/>
    </xf>
    <xf numFmtId="2" fontId="0" fillId="36" borderId="40" xfId="0" applyNumberFormat="1" applyFont="1" applyFill="1" applyBorder="1" applyAlignment="1" applyProtection="1">
      <alignment horizontal="center" vertical="center"/>
      <protection hidden="1"/>
    </xf>
    <xf numFmtId="0" fontId="0" fillId="36" borderId="41" xfId="0" applyFont="1" applyFill="1" applyBorder="1" applyAlignment="1" applyProtection="1">
      <alignment vertical="center"/>
      <protection hidden="1"/>
    </xf>
    <xf numFmtId="164" fontId="11" fillId="45" borderId="18" xfId="0" applyNumberFormat="1" applyFont="1" applyFill="1" applyBorder="1" applyAlignment="1" applyProtection="1">
      <alignment vertical="center"/>
      <protection hidden="1" locked="0"/>
    </xf>
    <xf numFmtId="0" fontId="150" fillId="0" borderId="0" xfId="0" applyFont="1" applyAlignment="1">
      <alignment vertical="center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Border="1" applyAlignment="1" applyProtection="1">
      <alignment vertical="center"/>
      <protection hidden="1"/>
    </xf>
    <xf numFmtId="164" fontId="9" fillId="33" borderId="19" xfId="0" applyNumberFormat="1" applyFont="1" applyFill="1" applyBorder="1" applyAlignment="1" applyProtection="1">
      <alignment/>
      <protection hidden="1"/>
    </xf>
    <xf numFmtId="0" fontId="9" fillId="36" borderId="43" xfId="0" applyFont="1" applyFill="1" applyBorder="1" applyAlignment="1" applyProtection="1">
      <alignment vertical="center"/>
      <protection hidden="1"/>
    </xf>
    <xf numFmtId="0" fontId="7" fillId="36" borderId="44" xfId="0" applyFont="1" applyFill="1" applyBorder="1" applyAlignment="1" applyProtection="1">
      <alignment horizontal="center" vertical="center"/>
      <protection hidden="1"/>
    </xf>
    <xf numFmtId="0" fontId="7" fillId="36" borderId="44" xfId="0" applyFont="1" applyFill="1" applyBorder="1" applyAlignment="1" applyProtection="1">
      <alignment horizontal="center" vertical="center" wrapText="1"/>
      <protection hidden="1"/>
    </xf>
    <xf numFmtId="0" fontId="7" fillId="33" borderId="45" xfId="0" applyFont="1" applyFill="1" applyBorder="1" applyAlignment="1" applyProtection="1">
      <alignment horizontal="center" vertical="center"/>
      <protection hidden="1"/>
    </xf>
    <xf numFmtId="0" fontId="8" fillId="32" borderId="46" xfId="0" applyFont="1" applyFill="1" applyBorder="1" applyAlignment="1" applyProtection="1">
      <alignment horizontal="center" vertical="center"/>
      <protection hidden="1"/>
    </xf>
    <xf numFmtId="0" fontId="8" fillId="32" borderId="47" xfId="0" applyFont="1" applyFill="1" applyBorder="1" applyAlignment="1" applyProtection="1">
      <alignment horizontal="center" vertical="center"/>
      <protection hidden="1"/>
    </xf>
    <xf numFmtId="164" fontId="9" fillId="33" borderId="48" xfId="0" applyNumberFormat="1" applyFont="1" applyFill="1" applyBorder="1" applyAlignment="1" applyProtection="1">
      <alignment horizontal="right" vertical="center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6" fillId="0" borderId="18" xfId="0" applyNumberFormat="1" applyFont="1" applyFill="1" applyBorder="1" applyAlignment="1" applyProtection="1">
      <alignment horizontal="right" vertical="center"/>
      <protection hidden="1"/>
    </xf>
    <xf numFmtId="1" fontId="0" fillId="0" borderId="0" xfId="0" applyNumberFormat="1" applyFont="1" applyBorder="1" applyAlignment="1" applyProtection="1">
      <alignment vertical="center"/>
      <protection hidden="1"/>
    </xf>
    <xf numFmtId="164" fontId="146" fillId="32" borderId="32" xfId="0" applyNumberFormat="1" applyFont="1" applyFill="1" applyBorder="1" applyAlignment="1" applyProtection="1">
      <alignment vertical="center"/>
      <protection hidden="1"/>
    </xf>
    <xf numFmtId="0" fontId="11" fillId="0" borderId="14" xfId="0" applyNumberFormat="1" applyFont="1" applyFill="1" applyBorder="1" applyAlignment="1" applyProtection="1">
      <alignment horizontal="center" vertical="center"/>
      <protection hidden="1"/>
    </xf>
    <xf numFmtId="164" fontId="151" fillId="32" borderId="0" xfId="0" applyNumberFormat="1" applyFont="1" applyFill="1" applyBorder="1" applyAlignment="1" applyProtection="1">
      <alignment horizontal="right" vertical="center"/>
      <protection hidden="1"/>
    </xf>
    <xf numFmtId="164" fontId="46" fillId="0" borderId="0" xfId="0" applyNumberFormat="1" applyFont="1" applyBorder="1" applyAlignment="1" applyProtection="1">
      <alignment vertical="center"/>
      <protection hidden="1"/>
    </xf>
    <xf numFmtId="2" fontId="8" fillId="0" borderId="0" xfId="0" applyNumberFormat="1" applyFont="1" applyBorder="1" applyAlignment="1" applyProtection="1">
      <alignment vertical="center"/>
      <protection hidden="1"/>
    </xf>
    <xf numFmtId="1" fontId="8" fillId="0" borderId="0" xfId="0" applyNumberFormat="1" applyFont="1" applyBorder="1" applyAlignment="1" applyProtection="1">
      <alignment vertical="center"/>
      <protection hidden="1"/>
    </xf>
    <xf numFmtId="164" fontId="146" fillId="32" borderId="32" xfId="0" applyNumberFormat="1" applyFont="1" applyFill="1" applyBorder="1" applyAlignment="1" applyProtection="1">
      <alignment horizontal="right" vertical="center" wrapText="1"/>
      <protection hidden="1"/>
    </xf>
    <xf numFmtId="164" fontId="11" fillId="46" borderId="17" xfId="0" applyNumberFormat="1" applyFont="1" applyFill="1" applyBorder="1" applyAlignment="1" applyProtection="1">
      <alignment horizontal="right" vertical="center"/>
      <protection hidden="1" locked="0"/>
    </xf>
    <xf numFmtId="184" fontId="0" fillId="0" borderId="0" xfId="0" applyNumberFormat="1" applyFont="1" applyBorder="1" applyAlignment="1" applyProtection="1">
      <alignment vertical="center"/>
      <protection hidden="1"/>
    </xf>
    <xf numFmtId="0" fontId="47" fillId="0" borderId="0" xfId="0" applyFont="1" applyAlignment="1">
      <alignment vertical="center"/>
    </xf>
    <xf numFmtId="0" fontId="14" fillId="32" borderId="11" xfId="0" applyFont="1" applyFill="1" applyBorder="1" applyAlignment="1" applyProtection="1">
      <alignment horizontal="center" vertical="center"/>
      <protection hidden="1"/>
    </xf>
    <xf numFmtId="164" fontId="9" fillId="32" borderId="11" xfId="0" applyNumberFormat="1" applyFont="1" applyFill="1" applyBorder="1" applyAlignment="1" applyProtection="1">
      <alignment horizontal="right" vertical="center" wrapText="1"/>
      <protection hidden="1"/>
    </xf>
    <xf numFmtId="164" fontId="7" fillId="36" borderId="12" xfId="0" applyNumberFormat="1" applyFont="1" applyFill="1" applyBorder="1" applyAlignment="1" applyProtection="1">
      <alignment horizontal="right" vertical="center" wrapText="1"/>
      <protection hidden="1"/>
    </xf>
    <xf numFmtId="164" fontId="23" fillId="21" borderId="49" xfId="0" applyNumberFormat="1" applyFont="1" applyFill="1" applyBorder="1" applyAlignment="1" applyProtection="1">
      <alignment vertical="center"/>
      <protection hidden="1"/>
    </xf>
    <xf numFmtId="0" fontId="152" fillId="0" borderId="0" xfId="0" applyFont="1" applyAlignment="1" applyProtection="1">
      <alignment vertical="center"/>
      <protection hidden="1"/>
    </xf>
    <xf numFmtId="0" fontId="28" fillId="0" borderId="50" xfId="0" applyFont="1" applyBorder="1" applyAlignment="1" applyProtection="1">
      <alignment horizontal="left" vertical="top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28" fillId="0" borderId="51" xfId="0" applyFont="1" applyBorder="1" applyAlignment="1" applyProtection="1">
      <alignment horizontal="left" vertical="top"/>
      <protection hidden="1"/>
    </xf>
    <xf numFmtId="0" fontId="153" fillId="0" borderId="51" xfId="0" applyFont="1" applyBorder="1" applyAlignment="1" applyProtection="1">
      <alignment horizontal="left" vertical="top"/>
      <protection hidden="1"/>
    </xf>
    <xf numFmtId="0" fontId="154" fillId="0" borderId="51" xfId="0" applyFont="1" applyBorder="1" applyAlignment="1" applyProtection="1">
      <alignment horizontal="left" vertical="top"/>
      <protection hidden="1"/>
    </xf>
    <xf numFmtId="0" fontId="33" fillId="0" borderId="51" xfId="0" applyFont="1" applyBorder="1" applyAlignment="1" applyProtection="1">
      <alignment horizontal="left" vertical="top"/>
      <protection hidden="1"/>
    </xf>
    <xf numFmtId="164" fontId="7" fillId="36" borderId="10" xfId="0" applyNumberFormat="1" applyFont="1" applyFill="1" applyBorder="1" applyAlignment="1" applyProtection="1">
      <alignment vertical="center"/>
      <protection hidden="1"/>
    </xf>
    <xf numFmtId="0" fontId="7" fillId="0" borderId="20" xfId="0" applyFont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1" fontId="0" fillId="0" borderId="0" xfId="0" applyNumberFormat="1" applyFont="1" applyFill="1" applyBorder="1" applyAlignment="1" applyProtection="1">
      <alignment vertical="center"/>
      <protection hidden="1"/>
    </xf>
    <xf numFmtId="184" fontId="0" fillId="0" borderId="0" xfId="0" applyNumberFormat="1" applyFont="1" applyFill="1" applyBorder="1" applyAlignment="1" applyProtection="1">
      <alignment vertical="center"/>
      <protection hidden="1"/>
    </xf>
    <xf numFmtId="16" fontId="9" fillId="0" borderId="0" xfId="0" applyNumberFormat="1" applyFont="1" applyFill="1" applyBorder="1" applyAlignment="1" applyProtection="1">
      <alignment vertical="center"/>
      <protection hidden="1"/>
    </xf>
    <xf numFmtId="0" fontId="0" fillId="47" borderId="14" xfId="0" applyFont="1" applyFill="1" applyBorder="1" applyAlignment="1" applyProtection="1">
      <alignment vertical="center"/>
      <protection hidden="1"/>
    </xf>
    <xf numFmtId="164" fontId="11" fillId="0" borderId="36" xfId="0" applyNumberFormat="1" applyFont="1" applyFill="1" applyBorder="1" applyAlignment="1" applyProtection="1">
      <alignment vertical="center"/>
      <protection hidden="1"/>
    </xf>
    <xf numFmtId="164" fontId="11" fillId="21" borderId="14" xfId="0" applyNumberFormat="1" applyFont="1" applyFill="1" applyBorder="1" applyAlignment="1" applyProtection="1">
      <alignment vertical="center"/>
      <protection hidden="1"/>
    </xf>
    <xf numFmtId="0" fontId="155" fillId="0" borderId="0" xfId="0" applyFont="1" applyBorder="1" applyAlignment="1" applyProtection="1">
      <alignment vertical="center"/>
      <protection hidden="1"/>
    </xf>
    <xf numFmtId="164" fontId="156" fillId="0" borderId="37" xfId="0" applyNumberFormat="1" applyFont="1" applyFill="1" applyBorder="1" applyAlignment="1" applyProtection="1">
      <alignment vertical="center"/>
      <protection hidden="1"/>
    </xf>
    <xf numFmtId="164" fontId="9" fillId="33" borderId="0" xfId="0" applyNumberFormat="1" applyFont="1" applyFill="1" applyBorder="1" applyAlignment="1" applyProtection="1">
      <alignment horizontal="right" vertical="center"/>
      <protection hidden="1"/>
    </xf>
    <xf numFmtId="0" fontId="8" fillId="32" borderId="34" xfId="0" applyFont="1" applyFill="1" applyBorder="1" applyAlignment="1" applyProtection="1">
      <alignment horizontal="center" vertical="center"/>
      <protection hidden="1"/>
    </xf>
    <xf numFmtId="164" fontId="7" fillId="36" borderId="52" xfId="0" applyNumberFormat="1" applyFont="1" applyFill="1" applyBorder="1" applyAlignment="1" applyProtection="1">
      <alignment horizontal="right" vertical="center" wrapText="1"/>
      <protection hidden="1"/>
    </xf>
    <xf numFmtId="164" fontId="157" fillId="36" borderId="52" xfId="0" applyNumberFormat="1" applyFont="1" applyFill="1" applyBorder="1" applyAlignment="1" applyProtection="1">
      <alignment horizontal="right" vertical="center" wrapText="1"/>
      <protection hidden="1"/>
    </xf>
    <xf numFmtId="0" fontId="14" fillId="32" borderId="52" xfId="0" applyFont="1" applyFill="1" applyBorder="1" applyAlignment="1" applyProtection="1">
      <alignment horizontal="center" vertical="center"/>
      <protection hidden="1"/>
    </xf>
    <xf numFmtId="0" fontId="14" fillId="33" borderId="52" xfId="0" applyFont="1" applyFill="1" applyBorder="1" applyAlignment="1" applyProtection="1">
      <alignment horizontal="center"/>
      <protection hidden="1"/>
    </xf>
    <xf numFmtId="164" fontId="9" fillId="32" borderId="53" xfId="0" applyNumberFormat="1" applyFont="1" applyFill="1" applyBorder="1" applyAlignment="1" applyProtection="1">
      <alignment horizontal="right" vertical="center" wrapText="1"/>
      <protection hidden="1"/>
    </xf>
    <xf numFmtId="164" fontId="9" fillId="0" borderId="0" xfId="0" applyNumberFormat="1" applyFont="1" applyBorder="1" applyAlignment="1" applyProtection="1">
      <alignment vertical="center"/>
      <protection hidden="1"/>
    </xf>
    <xf numFmtId="0" fontId="158" fillId="0" borderId="0" xfId="0" applyFont="1" applyBorder="1" applyAlignment="1" applyProtection="1">
      <alignment vertical="center"/>
      <protection hidden="1"/>
    </xf>
    <xf numFmtId="164" fontId="11" fillId="32" borderId="10" xfId="0" applyNumberFormat="1" applyFont="1" applyFill="1" applyBorder="1" applyAlignment="1" applyProtection="1">
      <alignment horizontal="right" vertical="center"/>
      <protection hidden="1"/>
    </xf>
    <xf numFmtId="164" fontId="11" fillId="32" borderId="11" xfId="0" applyNumberFormat="1" applyFont="1" applyFill="1" applyBorder="1" applyAlignment="1" applyProtection="1">
      <alignment horizontal="right" vertical="center"/>
      <protection hidden="1"/>
    </xf>
    <xf numFmtId="164" fontId="11" fillId="32" borderId="10" xfId="0" applyNumberFormat="1" applyFont="1" applyFill="1" applyBorder="1" applyAlignment="1" applyProtection="1">
      <alignment horizontal="right" vertical="center" shrinkToFit="1"/>
      <protection hidden="1"/>
    </xf>
    <xf numFmtId="164" fontId="11" fillId="32" borderId="11" xfId="0" applyNumberFormat="1" applyFont="1" applyFill="1" applyBorder="1" applyAlignment="1" applyProtection="1">
      <alignment horizontal="right" vertical="center" shrinkToFit="1"/>
      <protection hidden="1"/>
    </xf>
    <xf numFmtId="164" fontId="11" fillId="32" borderId="52" xfId="0" applyNumberFormat="1" applyFont="1" applyFill="1" applyBorder="1" applyAlignment="1" applyProtection="1">
      <alignment horizontal="right" vertical="center"/>
      <protection hidden="1"/>
    </xf>
    <xf numFmtId="0" fontId="157" fillId="36" borderId="10" xfId="0" applyFont="1" applyFill="1" applyBorder="1" applyAlignment="1" applyProtection="1">
      <alignment horizontal="center" vertical="center"/>
      <protection hidden="1"/>
    </xf>
    <xf numFmtId="0" fontId="12" fillId="48" borderId="0" xfId="0" applyFont="1" applyFill="1" applyBorder="1" applyAlignment="1" applyProtection="1">
      <alignment vertical="center"/>
      <protection hidden="1"/>
    </xf>
    <xf numFmtId="164" fontId="10" fillId="48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48" borderId="0" xfId="0" applyFont="1" applyFill="1" applyBorder="1" applyAlignment="1" applyProtection="1">
      <alignment horizontal="center" vertical="center"/>
      <protection hidden="1"/>
    </xf>
    <xf numFmtId="164" fontId="11" fillId="49" borderId="18" xfId="0" applyNumberFormat="1" applyFont="1" applyFill="1" applyBorder="1" applyAlignment="1" applyProtection="1">
      <alignment horizontal="right" vertical="center"/>
      <protection hidden="1" locked="0"/>
    </xf>
    <xf numFmtId="164" fontId="23" fillId="21" borderId="17" xfId="0" applyNumberFormat="1" applyFont="1" applyFill="1" applyBorder="1" applyAlignment="1" applyProtection="1">
      <alignment horizontal="right" vertical="center"/>
      <protection hidden="1"/>
    </xf>
    <xf numFmtId="164" fontId="159" fillId="0" borderId="10" xfId="0" applyNumberFormat="1" applyFont="1" applyBorder="1" applyAlignment="1" applyProtection="1">
      <alignment vertical="center"/>
      <protection hidden="1"/>
    </xf>
    <xf numFmtId="0" fontId="14" fillId="7" borderId="18" xfId="0" applyFont="1" applyFill="1" applyBorder="1" applyAlignment="1" applyProtection="1">
      <alignment horizontal="center" vertical="center"/>
      <protection hidden="1"/>
    </xf>
    <xf numFmtId="0" fontId="48" fillId="50" borderId="54" xfId="0" applyFont="1" applyFill="1" applyBorder="1" applyAlignment="1" applyProtection="1">
      <alignment horizontal="center" vertical="center" wrapText="1"/>
      <protection hidden="1"/>
    </xf>
    <xf numFmtId="164" fontId="146" fillId="50" borderId="32" xfId="0" applyNumberFormat="1" applyFont="1" applyFill="1" applyBorder="1" applyAlignment="1" applyProtection="1">
      <alignment vertical="center"/>
      <protection hidden="1"/>
    </xf>
    <xf numFmtId="0" fontId="14" fillId="50" borderId="18" xfId="0" applyFont="1" applyFill="1" applyBorder="1" applyAlignment="1" applyProtection="1">
      <alignment horizontal="center" vertical="center"/>
      <protection hidden="1"/>
    </xf>
    <xf numFmtId="0" fontId="14" fillId="32" borderId="18" xfId="0" applyFont="1" applyFill="1" applyBorder="1" applyAlignment="1" applyProtection="1">
      <alignment horizontal="center" vertical="center"/>
      <protection hidden="1"/>
    </xf>
    <xf numFmtId="164" fontId="52" fillId="51" borderId="55" xfId="0" applyNumberFormat="1" applyFont="1" applyFill="1" applyBorder="1" applyAlignment="1" applyProtection="1">
      <alignment horizontal="center" vertical="center"/>
      <protection hidden="1"/>
    </xf>
    <xf numFmtId="164" fontId="37" fillId="52" borderId="45" xfId="0" applyNumberFormat="1" applyFont="1" applyFill="1" applyBorder="1" applyAlignment="1" applyProtection="1">
      <alignment horizontal="center" vertical="center"/>
      <protection hidden="1"/>
    </xf>
    <xf numFmtId="164" fontId="160" fillId="0" borderId="55" xfId="0" applyNumberFormat="1" applyFont="1" applyFill="1" applyBorder="1" applyAlignment="1" applyProtection="1">
      <alignment horizontal="right" vertical="center"/>
      <protection hidden="1"/>
    </xf>
    <xf numFmtId="164" fontId="9" fillId="33" borderId="0" xfId="0" applyNumberFormat="1" applyFont="1" applyFill="1" applyBorder="1" applyAlignment="1" applyProtection="1">
      <alignment/>
      <protection hidden="1"/>
    </xf>
    <xf numFmtId="0" fontId="9" fillId="33" borderId="15" xfId="0" applyFont="1" applyFill="1" applyBorder="1" applyAlignment="1" applyProtection="1">
      <alignment horizontal="center"/>
      <protection hidden="1"/>
    </xf>
    <xf numFmtId="164" fontId="147" fillId="53" borderId="56" xfId="0" applyNumberFormat="1" applyFont="1" applyFill="1" applyBorder="1" applyAlignment="1" applyProtection="1">
      <alignment horizontal="center" vertical="center" wrapText="1" shrinkToFit="1"/>
      <protection hidden="1"/>
    </xf>
    <xf numFmtId="164" fontId="40" fillId="41" borderId="34" xfId="0" applyNumberFormat="1" applyFont="1" applyFill="1" applyBorder="1" applyAlignment="1" applyProtection="1">
      <alignment vertical="center" wrapText="1"/>
      <protection hidden="1"/>
    </xf>
    <xf numFmtId="0" fontId="4" fillId="41" borderId="36" xfId="0" applyFont="1" applyFill="1" applyBorder="1" applyAlignment="1" applyProtection="1">
      <alignment horizontal="center" vertical="center" wrapText="1"/>
      <protection hidden="1"/>
    </xf>
    <xf numFmtId="164" fontId="9" fillId="41" borderId="36" xfId="0" applyNumberFormat="1" applyFont="1" applyFill="1" applyBorder="1" applyAlignment="1" applyProtection="1">
      <alignment horizontal="center" vertical="center" wrapText="1"/>
      <protection hidden="1"/>
    </xf>
    <xf numFmtId="164" fontId="146" fillId="7" borderId="32" xfId="0" applyNumberFormat="1" applyFont="1" applyFill="1" applyBorder="1" applyAlignment="1" applyProtection="1">
      <alignment horizontal="right" vertical="center" wrapText="1"/>
      <protection hidden="1"/>
    </xf>
    <xf numFmtId="164" fontId="8" fillId="0" borderId="10" xfId="0" applyNumberFormat="1" applyFont="1" applyBorder="1" applyAlignment="1" applyProtection="1">
      <alignment vertical="center"/>
      <protection hidden="1"/>
    </xf>
    <xf numFmtId="164" fontId="0" fillId="0" borderId="21" xfId="0" applyNumberFormat="1" applyFont="1" applyBorder="1" applyAlignment="1" applyProtection="1">
      <alignment vertical="center"/>
      <protection hidden="1"/>
    </xf>
    <xf numFmtId="0" fontId="0" fillId="0" borderId="57" xfId="0" applyFont="1" applyBorder="1" applyAlignment="1" applyProtection="1">
      <alignment vertical="center"/>
      <protection hidden="1"/>
    </xf>
    <xf numFmtId="0" fontId="40" fillId="36" borderId="10" xfId="0" applyFont="1" applyFill="1" applyBorder="1" applyAlignment="1" applyProtection="1">
      <alignment horizontal="right" vertical="center" wrapText="1"/>
      <protection hidden="1"/>
    </xf>
    <xf numFmtId="0" fontId="56" fillId="36" borderId="10" xfId="0" applyFont="1" applyFill="1" applyBorder="1" applyAlignment="1" applyProtection="1">
      <alignment horizontal="right" vertical="center" wrapText="1"/>
      <protection hidden="1"/>
    </xf>
    <xf numFmtId="0" fontId="28" fillId="54" borderId="10" xfId="0" applyFont="1" applyFill="1" applyBorder="1" applyAlignment="1" applyProtection="1">
      <alignment horizontal="left" vertical="top"/>
      <protection hidden="1"/>
    </xf>
    <xf numFmtId="0" fontId="0" fillId="54" borderId="10" xfId="0" applyFont="1" applyFill="1" applyBorder="1" applyAlignment="1" applyProtection="1">
      <alignment vertical="center"/>
      <protection hidden="1"/>
    </xf>
    <xf numFmtId="0" fontId="28" fillId="6" borderId="10" xfId="0" applyFont="1" applyFill="1" applyBorder="1" applyAlignment="1" applyProtection="1">
      <alignment horizontal="left" vertical="top"/>
      <protection hidden="1"/>
    </xf>
    <xf numFmtId="0" fontId="28" fillId="55" borderId="30" xfId="0" applyFont="1" applyFill="1" applyBorder="1" applyAlignment="1" applyProtection="1">
      <alignment horizontal="left" vertical="top"/>
      <protection hidden="1"/>
    </xf>
    <xf numFmtId="0" fontId="28" fillId="55" borderId="58" xfId="0" applyFont="1" applyFill="1" applyBorder="1" applyAlignment="1" applyProtection="1">
      <alignment horizontal="left" vertical="top"/>
      <protection hidden="1"/>
    </xf>
    <xf numFmtId="0" fontId="28" fillId="56" borderId="10" xfId="0" applyFont="1" applyFill="1" applyBorder="1" applyAlignment="1" applyProtection="1">
      <alignment horizontal="left" vertical="top"/>
      <protection hidden="1"/>
    </xf>
    <xf numFmtId="0" fontId="161" fillId="0" borderId="0" xfId="0" applyFont="1" applyBorder="1" applyAlignment="1" applyProtection="1">
      <alignment vertical="center"/>
      <protection hidden="1"/>
    </xf>
    <xf numFmtId="0" fontId="162" fillId="0" borderId="0" xfId="0" applyFont="1" applyBorder="1" applyAlignment="1" applyProtection="1">
      <alignment vertical="center"/>
      <protection hidden="1"/>
    </xf>
    <xf numFmtId="0" fontId="163" fillId="0" borderId="0" xfId="0" applyFont="1" applyBorder="1" applyAlignment="1" applyProtection="1">
      <alignment vertical="center"/>
      <protection hidden="1"/>
    </xf>
    <xf numFmtId="164" fontId="164" fillId="0" borderId="0" xfId="0" applyNumberFormat="1" applyFont="1" applyFill="1" applyBorder="1" applyAlignment="1" applyProtection="1">
      <alignment vertical="center"/>
      <protection hidden="1"/>
    </xf>
    <xf numFmtId="0" fontId="165" fillId="0" borderId="0" xfId="0" applyFont="1" applyFill="1" applyBorder="1" applyAlignment="1" applyProtection="1">
      <alignment vertical="center"/>
      <protection hidden="1"/>
    </xf>
    <xf numFmtId="0" fontId="28" fillId="7" borderId="42" xfId="0" applyFont="1" applyFill="1" applyBorder="1" applyAlignment="1" applyProtection="1">
      <alignment horizontal="left" vertical="top"/>
      <protection hidden="1"/>
    </xf>
    <xf numFmtId="0" fontId="28" fillId="7" borderId="33" xfId="0" applyFont="1" applyFill="1" applyBorder="1" applyAlignment="1" applyProtection="1">
      <alignment horizontal="left" vertical="top"/>
      <protection hidden="1"/>
    </xf>
    <xf numFmtId="0" fontId="0" fillId="7" borderId="10" xfId="0" applyFont="1" applyFill="1" applyBorder="1" applyAlignment="1" applyProtection="1">
      <alignment vertical="center"/>
      <protection hidden="1"/>
    </xf>
    <xf numFmtId="0" fontId="28" fillId="7" borderId="10" xfId="0" applyFont="1" applyFill="1" applyBorder="1" applyAlignment="1" applyProtection="1">
      <alignment horizontal="left" vertical="top"/>
      <protection hidden="1"/>
    </xf>
    <xf numFmtId="0" fontId="11" fillId="36" borderId="33" xfId="0" applyFont="1" applyFill="1" applyBorder="1" applyAlignment="1" applyProtection="1">
      <alignment vertical="center"/>
      <protection hidden="1"/>
    </xf>
    <xf numFmtId="0" fontId="11" fillId="36" borderId="59" xfId="0" applyFont="1" applyFill="1" applyBorder="1" applyAlignment="1" applyProtection="1">
      <alignment vertical="center"/>
      <protection hidden="1"/>
    </xf>
    <xf numFmtId="0" fontId="11" fillId="36" borderId="34" xfId="0" applyFont="1" applyFill="1" applyBorder="1" applyAlignment="1" applyProtection="1">
      <alignment vertical="center"/>
      <protection hidden="1"/>
    </xf>
    <xf numFmtId="0" fontId="11" fillId="36" borderId="36" xfId="0" applyFont="1" applyFill="1" applyBorder="1" applyAlignment="1" applyProtection="1">
      <alignment vertical="center"/>
      <protection hidden="1"/>
    </xf>
    <xf numFmtId="164" fontId="9" fillId="33" borderId="60" xfId="0" applyNumberFormat="1" applyFont="1" applyFill="1" applyBorder="1" applyAlignment="1" applyProtection="1">
      <alignment horizontal="right" vertical="center"/>
      <protection hidden="1"/>
    </xf>
    <xf numFmtId="0" fontId="40" fillId="36" borderId="12" xfId="0" applyFont="1" applyFill="1" applyBorder="1" applyAlignment="1" applyProtection="1">
      <alignment horizontal="right" vertical="center" wrapText="1"/>
      <protection hidden="1"/>
    </xf>
    <xf numFmtId="164" fontId="7" fillId="36" borderId="12" xfId="0" applyNumberFormat="1" applyFont="1" applyFill="1" applyBorder="1" applyAlignment="1" applyProtection="1">
      <alignment vertical="center"/>
      <protection hidden="1"/>
    </xf>
    <xf numFmtId="0" fontId="30" fillId="36" borderId="0" xfId="0" applyFont="1" applyFill="1" applyBorder="1" applyAlignment="1" applyProtection="1">
      <alignment vertical="center"/>
      <protection hidden="1"/>
    </xf>
    <xf numFmtId="3" fontId="30" fillId="36" borderId="0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horizontal="left" vertical="center"/>
      <protection hidden="1"/>
    </xf>
    <xf numFmtId="164" fontId="7" fillId="50" borderId="23" xfId="0" applyNumberFormat="1" applyFont="1" applyFill="1" applyBorder="1" applyAlignment="1" applyProtection="1">
      <alignment vertical="center"/>
      <protection hidden="1"/>
    </xf>
    <xf numFmtId="0" fontId="7" fillId="33" borderId="61" xfId="0" applyFont="1" applyFill="1" applyBorder="1" applyAlignment="1" applyProtection="1">
      <alignment horizontal="center" vertical="center"/>
      <protection hidden="1"/>
    </xf>
    <xf numFmtId="0" fontId="8" fillId="32" borderId="62" xfId="0" applyFont="1" applyFill="1" applyBorder="1" applyAlignment="1" applyProtection="1">
      <alignment horizontal="center" vertical="center"/>
      <protection hidden="1"/>
    </xf>
    <xf numFmtId="164" fontId="6" fillId="0" borderId="63" xfId="0" applyNumberFormat="1" applyFont="1" applyFill="1" applyBorder="1" applyAlignment="1" applyProtection="1">
      <alignment horizontal="right" vertical="center"/>
      <protection hidden="1"/>
    </xf>
    <xf numFmtId="164" fontId="146" fillId="32" borderId="64" xfId="0" applyNumberFormat="1" applyFont="1" applyFill="1" applyBorder="1" applyAlignment="1" applyProtection="1">
      <alignment horizontal="right" vertical="center" wrapText="1"/>
      <protection hidden="1"/>
    </xf>
    <xf numFmtId="164" fontId="11" fillId="57" borderId="63" xfId="0" applyNumberFormat="1" applyFont="1" applyFill="1" applyBorder="1" applyAlignment="1" applyProtection="1">
      <alignment vertical="center"/>
      <protection hidden="1" locked="0"/>
    </xf>
    <xf numFmtId="0" fontId="14" fillId="36" borderId="65" xfId="0" applyFont="1" applyFill="1" applyBorder="1" applyAlignment="1" applyProtection="1">
      <alignment horizontal="center" vertical="center"/>
      <protection hidden="1"/>
    </xf>
    <xf numFmtId="0" fontId="14" fillId="33" borderId="66" xfId="0" applyFont="1" applyFill="1" applyBorder="1" applyAlignment="1" applyProtection="1">
      <alignment horizontal="center"/>
      <protection hidden="1"/>
    </xf>
    <xf numFmtId="164" fontId="9" fillId="32" borderId="63" xfId="0" applyNumberFormat="1" applyFont="1" applyFill="1" applyBorder="1" applyAlignment="1" applyProtection="1">
      <alignment horizontal="right" vertical="center" shrinkToFit="1"/>
      <protection hidden="1"/>
    </xf>
    <xf numFmtId="164" fontId="9" fillId="33" borderId="66" xfId="0" applyNumberFormat="1" applyFont="1" applyFill="1" applyBorder="1" applyAlignment="1" applyProtection="1">
      <alignment horizontal="right" vertical="center"/>
      <protection hidden="1"/>
    </xf>
    <xf numFmtId="0" fontId="4" fillId="41" borderId="34" xfId="0" applyFont="1" applyFill="1" applyBorder="1" applyAlignment="1" applyProtection="1">
      <alignment horizontal="center" vertical="center" wrapText="1"/>
      <protection hidden="1"/>
    </xf>
    <xf numFmtId="0" fontId="4" fillId="36" borderId="37" xfId="0" applyFont="1" applyFill="1" applyBorder="1" applyAlignment="1" applyProtection="1">
      <alignment horizontal="center" vertical="center" wrapText="1"/>
      <protection hidden="1"/>
    </xf>
    <xf numFmtId="164" fontId="40" fillId="0" borderId="13" xfId="0" applyNumberFormat="1" applyFont="1" applyFill="1" applyBorder="1" applyAlignment="1" applyProtection="1">
      <alignment vertical="center" wrapText="1"/>
      <protection hidden="1"/>
    </xf>
    <xf numFmtId="164" fontId="40" fillId="0" borderId="30" xfId="0" applyNumberFormat="1" applyFont="1" applyFill="1" applyBorder="1" applyAlignment="1" applyProtection="1">
      <alignment vertical="center" wrapText="1"/>
      <protection hidden="1"/>
    </xf>
    <xf numFmtId="0" fontId="9" fillId="41" borderId="36" xfId="0" applyFont="1" applyFill="1" applyBorder="1" applyAlignment="1" applyProtection="1">
      <alignment horizontal="center"/>
      <protection hidden="1"/>
    </xf>
    <xf numFmtId="164" fontId="147" fillId="41" borderId="37" xfId="0" applyNumberFormat="1" applyFont="1" applyFill="1" applyBorder="1" applyAlignment="1" applyProtection="1">
      <alignment horizontal="center" vertical="center" wrapText="1" shrinkToFit="1"/>
      <protection hidden="1"/>
    </xf>
    <xf numFmtId="164" fontId="157" fillId="36" borderId="37" xfId="0" applyNumberFormat="1" applyFont="1" applyFill="1" applyBorder="1" applyAlignment="1" applyProtection="1">
      <alignment horizontal="left" vertical="center" wrapText="1"/>
      <protection hidden="1"/>
    </xf>
    <xf numFmtId="164" fontId="7" fillId="36" borderId="10" xfId="0" applyNumberFormat="1" applyFont="1" applyFill="1" applyBorder="1" applyAlignment="1" applyProtection="1">
      <alignment horizontal="right" vertical="center" wrapText="1"/>
      <protection hidden="1"/>
    </xf>
    <xf numFmtId="0" fontId="166" fillId="0" borderId="23" xfId="0" applyFont="1" applyBorder="1" applyAlignment="1" applyProtection="1">
      <alignment vertical="center" wrapText="1"/>
      <protection hidden="1"/>
    </xf>
    <xf numFmtId="0" fontId="166" fillId="0" borderId="25" xfId="0" applyFont="1" applyBorder="1" applyAlignment="1" applyProtection="1">
      <alignment horizontal="center" vertical="center" wrapText="1"/>
      <protection hidden="1"/>
    </xf>
    <xf numFmtId="164" fontId="6" fillId="0" borderId="67" xfId="0" applyNumberFormat="1" applyFont="1" applyFill="1" applyBorder="1" applyAlignment="1" applyProtection="1">
      <alignment horizontal="right" vertical="center"/>
      <protection hidden="1"/>
    </xf>
    <xf numFmtId="0" fontId="166" fillId="0" borderId="25" xfId="0" applyFont="1" applyBorder="1" applyAlignment="1" applyProtection="1">
      <alignment horizontal="right" vertical="center" wrapText="1"/>
      <protection hidden="1"/>
    </xf>
    <xf numFmtId="0" fontId="13" fillId="0" borderId="68" xfId="0" applyFont="1" applyFill="1" applyBorder="1" applyAlignment="1" applyProtection="1">
      <alignment vertical="center" wrapText="1"/>
      <protection hidden="1"/>
    </xf>
    <xf numFmtId="0" fontId="40" fillId="58" borderId="69" xfId="0" applyFont="1" applyFill="1" applyBorder="1" applyAlignment="1" applyProtection="1">
      <alignment horizontal="center" vertical="center"/>
      <protection hidden="1" locked="0"/>
    </xf>
    <xf numFmtId="0" fontId="40" fillId="59" borderId="70" xfId="0" applyFont="1" applyFill="1" applyBorder="1" applyAlignment="1" applyProtection="1">
      <alignment horizontal="center" vertical="center"/>
      <protection hidden="1" locked="0"/>
    </xf>
    <xf numFmtId="0" fontId="7" fillId="0" borderId="0" xfId="0" applyNumberFormat="1" applyFont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wrapText="1"/>
      <protection hidden="1"/>
    </xf>
    <xf numFmtId="0" fontId="167" fillId="0" borderId="0" xfId="0" applyNumberFormat="1" applyFont="1" applyBorder="1" applyAlignment="1" applyProtection="1">
      <alignment horizontal="center" vertical="center"/>
      <protection hidden="1"/>
    </xf>
    <xf numFmtId="0" fontId="7" fillId="36" borderId="69" xfId="0" applyFont="1" applyFill="1" applyBorder="1" applyAlignment="1" applyProtection="1">
      <alignment horizontal="right" vertical="center" wrapText="1"/>
      <protection hidden="1"/>
    </xf>
    <xf numFmtId="164" fontId="168" fillId="36" borderId="13" xfId="0" applyNumberFormat="1" applyFont="1" applyFill="1" applyBorder="1" applyAlignment="1" applyProtection="1">
      <alignment vertical="center"/>
      <protection hidden="1"/>
    </xf>
    <xf numFmtId="0" fontId="7" fillId="36" borderId="61" xfId="0" applyFont="1" applyFill="1" applyBorder="1" applyAlignment="1" applyProtection="1">
      <alignment horizontal="center" vertical="center" wrapText="1"/>
      <protection hidden="1"/>
    </xf>
    <xf numFmtId="0" fontId="7" fillId="36" borderId="61" xfId="0" applyFont="1" applyFill="1" applyBorder="1" applyAlignment="1" applyProtection="1">
      <alignment horizontal="center" vertical="center"/>
      <protection hidden="1"/>
    </xf>
    <xf numFmtId="0" fontId="9" fillId="36" borderId="66" xfId="0" applyFont="1" applyFill="1" applyBorder="1" applyAlignment="1" applyProtection="1">
      <alignment horizontal="center"/>
      <protection hidden="1"/>
    </xf>
    <xf numFmtId="164" fontId="11" fillId="36" borderId="66" xfId="0" applyNumberFormat="1" applyFont="1" applyFill="1" applyBorder="1" applyAlignment="1" applyProtection="1">
      <alignment horizontal="center" vertical="center"/>
      <protection hidden="1"/>
    </xf>
    <xf numFmtId="164" fontId="9" fillId="36" borderId="66" xfId="0" applyNumberFormat="1" applyFont="1" applyFill="1" applyBorder="1" applyAlignment="1" applyProtection="1">
      <alignment/>
      <protection hidden="1"/>
    </xf>
    <xf numFmtId="0" fontId="6" fillId="36" borderId="71" xfId="56" applyFont="1" applyFill="1" applyBorder="1" applyAlignment="1" applyProtection="1">
      <alignment horizontal="right" vertical="center" wrapText="1"/>
      <protection hidden="1"/>
    </xf>
    <xf numFmtId="0" fontId="4" fillId="36" borderId="71" xfId="56" applyFont="1" applyFill="1" applyBorder="1" applyAlignment="1" applyProtection="1">
      <alignment horizontal="right" vertical="center" wrapText="1"/>
      <protection hidden="1"/>
    </xf>
    <xf numFmtId="164" fontId="23" fillId="21" borderId="59" xfId="0" applyNumberFormat="1" applyFont="1" applyFill="1" applyBorder="1" applyAlignment="1" applyProtection="1">
      <alignment vertical="center"/>
      <protection hidden="1"/>
    </xf>
    <xf numFmtId="164" fontId="151" fillId="32" borderId="0" xfId="0" applyNumberFormat="1" applyFont="1" applyFill="1" applyBorder="1" applyAlignment="1" applyProtection="1">
      <alignment horizontal="left" vertical="center" wrapText="1"/>
      <protection hidden="1"/>
    </xf>
    <xf numFmtId="164" fontId="151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164" fontId="23" fillId="0" borderId="72" xfId="0" applyNumberFormat="1" applyFont="1" applyFill="1" applyBorder="1" applyAlignment="1" applyProtection="1">
      <alignment horizontal="right" vertical="center"/>
      <protection hidden="1"/>
    </xf>
    <xf numFmtId="164" fontId="23" fillId="0" borderId="54" xfId="0" applyNumberFormat="1" applyFont="1" applyFill="1" applyBorder="1" applyAlignment="1" applyProtection="1">
      <alignment horizontal="right" vertical="center"/>
      <protection hidden="1"/>
    </xf>
    <xf numFmtId="164" fontId="23" fillId="0" borderId="73" xfId="0" applyNumberFormat="1" applyFont="1" applyFill="1" applyBorder="1" applyAlignment="1" applyProtection="1">
      <alignment horizontal="right" vertical="center"/>
      <protection hidden="1"/>
    </xf>
    <xf numFmtId="164" fontId="23" fillId="0" borderId="32" xfId="0" applyNumberFormat="1" applyFont="1" applyFill="1" applyBorder="1" applyAlignment="1" applyProtection="1">
      <alignment horizontal="right" vertical="center"/>
      <protection hidden="1"/>
    </xf>
    <xf numFmtId="0" fontId="13" fillId="0" borderId="74" xfId="0" applyFont="1" applyFill="1" applyBorder="1" applyAlignment="1" applyProtection="1">
      <alignment/>
      <protection hidden="1"/>
    </xf>
    <xf numFmtId="0" fontId="13" fillId="0" borderId="75" xfId="0" applyFont="1" applyFill="1" applyBorder="1" applyAlignment="1" applyProtection="1">
      <alignment/>
      <protection hidden="1"/>
    </xf>
    <xf numFmtId="164" fontId="23" fillId="21" borderId="64" xfId="0" applyNumberFormat="1" applyFont="1" applyFill="1" applyBorder="1" applyAlignment="1" applyProtection="1">
      <alignment vertical="center"/>
      <protection hidden="1"/>
    </xf>
    <xf numFmtId="0" fontId="169" fillId="0" borderId="76" xfId="0" applyFont="1" applyFill="1" applyBorder="1" applyAlignment="1" applyProtection="1">
      <alignment horizontal="center" vertical="center" wrapText="1"/>
      <protection hidden="1"/>
    </xf>
    <xf numFmtId="164" fontId="23" fillId="21" borderId="18" xfId="0" applyNumberFormat="1" applyFont="1" applyFill="1" applyBorder="1" applyAlignment="1" applyProtection="1">
      <alignment vertical="center"/>
      <protection hidden="1"/>
    </xf>
    <xf numFmtId="0" fontId="170" fillId="60" borderId="25" xfId="0" applyFont="1" applyFill="1" applyBorder="1" applyAlignment="1" applyProtection="1">
      <alignment vertical="center"/>
      <protection hidden="1"/>
    </xf>
    <xf numFmtId="0" fontId="9" fillId="60" borderId="0" xfId="0" applyFont="1" applyFill="1" applyBorder="1" applyAlignment="1" applyProtection="1">
      <alignment vertical="center"/>
      <protection hidden="1"/>
    </xf>
    <xf numFmtId="2" fontId="6" fillId="36" borderId="59" xfId="0" applyNumberFormat="1" applyFont="1" applyFill="1" applyBorder="1" applyAlignment="1" applyProtection="1">
      <alignment vertical="top" wrapText="1"/>
      <protection hidden="1"/>
    </xf>
    <xf numFmtId="0" fontId="6" fillId="36" borderId="77" xfId="0" applyFont="1" applyFill="1" applyBorder="1" applyAlignment="1" applyProtection="1">
      <alignment horizontal="center" wrapText="1"/>
      <protection hidden="1"/>
    </xf>
    <xf numFmtId="0" fontId="6" fillId="36" borderId="78" xfId="0" applyFont="1" applyFill="1" applyBorder="1" applyAlignment="1" applyProtection="1">
      <alignment horizontal="left" vertical="top" wrapText="1"/>
      <protection hidden="1"/>
    </xf>
    <xf numFmtId="0" fontId="4" fillId="36" borderId="78" xfId="0" applyFont="1" applyFill="1" applyBorder="1" applyAlignment="1" applyProtection="1">
      <alignment horizontal="center" vertical="top" wrapText="1"/>
      <protection hidden="1"/>
    </xf>
    <xf numFmtId="0" fontId="40" fillId="61" borderId="70" xfId="0" applyFont="1" applyFill="1" applyBorder="1" applyAlignment="1" applyProtection="1">
      <alignment vertical="center" wrapText="1"/>
      <protection hidden="1" locked="0"/>
    </xf>
    <xf numFmtId="0" fontId="171" fillId="41" borderId="79" xfId="0" applyFont="1" applyFill="1" applyBorder="1" applyAlignment="1" applyProtection="1">
      <alignment vertical="center"/>
      <protection hidden="1" locked="0"/>
    </xf>
    <xf numFmtId="0" fontId="8" fillId="41" borderId="0" xfId="0" applyFont="1" applyFill="1" applyBorder="1" applyAlignment="1" applyProtection="1">
      <alignment vertical="center"/>
      <protection hidden="1"/>
    </xf>
    <xf numFmtId="0" fontId="30" fillId="0" borderId="0" xfId="0" applyNumberFormat="1" applyFont="1" applyAlignment="1" applyProtection="1">
      <alignment vertical="center" wrapText="1"/>
      <protection hidden="1"/>
    </xf>
    <xf numFmtId="0" fontId="30" fillId="0" borderId="0" xfId="0" applyFont="1" applyBorder="1" applyAlignment="1" applyProtection="1">
      <alignment vertical="top" wrapText="1"/>
      <protection hidden="1"/>
    </xf>
    <xf numFmtId="0" fontId="30" fillId="32" borderId="0" xfId="0" applyFont="1" applyFill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horizontal="left" vertical="center" wrapText="1"/>
      <protection hidden="1"/>
    </xf>
    <xf numFmtId="164" fontId="151" fillId="32" borderId="80" xfId="0" applyNumberFormat="1" applyFont="1" applyFill="1" applyBorder="1" applyAlignment="1" applyProtection="1">
      <alignment horizontal="left" vertical="center" wrapText="1"/>
      <protection hidden="1"/>
    </xf>
    <xf numFmtId="49" fontId="9" fillId="62" borderId="10" xfId="0" applyNumberFormat="1" applyFont="1" applyFill="1" applyBorder="1" applyAlignment="1" applyProtection="1">
      <alignment horizontal="left" vertical="center"/>
      <protection hidden="1" locked="0"/>
    </xf>
    <xf numFmtId="0" fontId="6" fillId="36" borderId="61" xfId="0" applyFont="1" applyFill="1" applyBorder="1" applyAlignment="1" applyProtection="1">
      <alignment horizontal="center" vertical="center" wrapText="1"/>
      <protection hidden="1"/>
    </xf>
    <xf numFmtId="3" fontId="172" fillId="63" borderId="37" xfId="0" applyNumberFormat="1" applyFont="1" applyFill="1" applyBorder="1" applyAlignment="1" applyProtection="1">
      <alignment horizontal="center" vertical="center" wrapText="1"/>
      <protection hidden="1"/>
    </xf>
    <xf numFmtId="164" fontId="173" fillId="64" borderId="81" xfId="0" applyNumberFormat="1" applyFont="1" applyFill="1" applyBorder="1" applyAlignment="1" applyProtection="1">
      <alignment horizontal="right" vertical="center"/>
      <protection hidden="1" locked="0"/>
    </xf>
    <xf numFmtId="164" fontId="173" fillId="65" borderId="62" xfId="0" applyNumberFormat="1" applyFont="1" applyFill="1" applyBorder="1" applyAlignment="1" applyProtection="1">
      <alignment horizontal="right" vertical="center"/>
      <protection hidden="1" locked="0"/>
    </xf>
    <xf numFmtId="164" fontId="9" fillId="32" borderId="17" xfId="0" applyNumberFormat="1" applyFont="1" applyFill="1" applyBorder="1" applyAlignment="1" applyProtection="1">
      <alignment horizontal="right" vertical="center" wrapText="1"/>
      <protection hidden="1"/>
    </xf>
    <xf numFmtId="164" fontId="9" fillId="32" borderId="18" xfId="0" applyNumberFormat="1" applyFont="1" applyFill="1" applyBorder="1" applyAlignment="1" applyProtection="1">
      <alignment horizontal="right" vertical="center" wrapText="1"/>
      <protection hidden="1"/>
    </xf>
    <xf numFmtId="164" fontId="174" fillId="32" borderId="18" xfId="0" applyNumberFormat="1" applyFont="1" applyFill="1" applyBorder="1" applyAlignment="1" applyProtection="1">
      <alignment horizontal="right" vertical="center" wrapText="1"/>
      <protection hidden="1"/>
    </xf>
    <xf numFmtId="0" fontId="175" fillId="0" borderId="10" xfId="0" applyFont="1" applyBorder="1" applyAlignment="1" applyProtection="1">
      <alignment horizontal="center" vertical="center"/>
      <protection hidden="1"/>
    </xf>
    <xf numFmtId="168" fontId="172" fillId="0" borderId="10" xfId="0" applyNumberFormat="1" applyFont="1" applyBorder="1" applyAlignment="1" applyProtection="1">
      <alignment vertical="center"/>
      <protection hidden="1"/>
    </xf>
    <xf numFmtId="167" fontId="172" fillId="0" borderId="10" xfId="0" applyNumberFormat="1" applyFont="1" applyBorder="1" applyAlignment="1" applyProtection="1">
      <alignment vertical="center"/>
      <protection hidden="1"/>
    </xf>
    <xf numFmtId="2" fontId="172" fillId="0" borderId="10" xfId="0" applyNumberFormat="1" applyFont="1" applyBorder="1" applyAlignment="1" applyProtection="1">
      <alignment vertical="center"/>
      <protection hidden="1"/>
    </xf>
    <xf numFmtId="164" fontId="176" fillId="0" borderId="10" xfId="0" applyNumberFormat="1" applyFont="1" applyBorder="1" applyAlignment="1" applyProtection="1">
      <alignment vertical="center"/>
      <protection hidden="1"/>
    </xf>
    <xf numFmtId="164" fontId="67" fillId="21" borderId="61" xfId="0" applyNumberFormat="1" applyFont="1" applyFill="1" applyBorder="1" applyAlignment="1" applyProtection="1">
      <alignment horizontal="center" vertical="center" wrapText="1"/>
      <protection hidden="1"/>
    </xf>
    <xf numFmtId="0" fontId="114" fillId="0" borderId="10" xfId="0" applyFont="1" applyBorder="1" applyAlignment="1" applyProtection="1">
      <alignment horizontal="center" vertical="center" wrapText="1"/>
      <protection hidden="1"/>
    </xf>
    <xf numFmtId="0" fontId="177" fillId="0" borderId="10" xfId="0" applyFont="1" applyBorder="1" applyAlignment="1" applyProtection="1">
      <alignment horizontal="center" vertical="center" wrapText="1"/>
      <protection hidden="1"/>
    </xf>
    <xf numFmtId="164" fontId="7" fillId="36" borderId="23" xfId="0" applyNumberFormat="1" applyFont="1" applyFill="1" applyBorder="1" applyAlignment="1" applyProtection="1">
      <alignment horizontal="right" vertical="center" wrapText="1"/>
      <protection hidden="1"/>
    </xf>
    <xf numFmtId="164" fontId="178" fillId="0" borderId="14" xfId="0" applyNumberFormat="1" applyFont="1" applyBorder="1" applyAlignment="1" applyProtection="1">
      <alignment horizontal="center" vertical="center"/>
      <protection hidden="1"/>
    </xf>
    <xf numFmtId="164" fontId="151" fillId="32" borderId="82" xfId="0" applyNumberFormat="1" applyFont="1" applyFill="1" applyBorder="1" applyAlignment="1" applyProtection="1">
      <alignment horizontal="left" vertical="center" wrapText="1"/>
      <protection hidden="1"/>
    </xf>
    <xf numFmtId="0" fontId="172" fillId="0" borderId="0" xfId="0" applyFont="1" applyBorder="1" applyAlignment="1" applyProtection="1">
      <alignment vertical="center"/>
      <protection hidden="1"/>
    </xf>
    <xf numFmtId="2" fontId="17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Alignment="1" applyProtection="1">
      <alignment horizontal="left" wrapText="1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3" fontId="180" fillId="66" borderId="83" xfId="0" applyNumberFormat="1" applyFont="1" applyFill="1" applyBorder="1" applyAlignment="1" applyProtection="1">
      <alignment horizontal="center" vertical="center" wrapText="1"/>
      <protection hidden="1" locked="0"/>
    </xf>
    <xf numFmtId="0" fontId="181" fillId="0" borderId="0" xfId="0" applyFont="1" applyAlignment="1">
      <alignment/>
    </xf>
    <xf numFmtId="14" fontId="9" fillId="67" borderId="10" xfId="0" applyNumberFormat="1" applyFont="1" applyFill="1" applyBorder="1" applyAlignment="1" applyProtection="1">
      <alignment horizontal="center" vertical="center"/>
      <protection hidden="1" locked="0"/>
    </xf>
    <xf numFmtId="0" fontId="182" fillId="68" borderId="69" xfId="0" applyFont="1" applyFill="1" applyBorder="1" applyAlignment="1" applyProtection="1">
      <alignment horizontal="center" vertical="center" wrapText="1"/>
      <protection hidden="1"/>
    </xf>
    <xf numFmtId="3" fontId="182" fillId="68" borderId="8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5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8" fillId="32" borderId="27" xfId="0" applyFont="1" applyFill="1" applyBorder="1" applyAlignment="1" applyProtection="1">
      <alignment horizontal="center" vertical="center"/>
      <protection hidden="1"/>
    </xf>
    <xf numFmtId="0" fontId="178" fillId="0" borderId="34" xfId="0" applyFont="1" applyBorder="1" applyAlignment="1" applyProtection="1">
      <alignment horizontal="center" vertical="center" wrapText="1"/>
      <protection hidden="1"/>
    </xf>
    <xf numFmtId="0" fontId="178" fillId="0" borderId="36" xfId="0" applyFont="1" applyBorder="1" applyAlignment="1" applyProtection="1">
      <alignment horizontal="center" vertical="center" wrapText="1"/>
      <protection hidden="1"/>
    </xf>
    <xf numFmtId="0" fontId="178" fillId="0" borderId="37" xfId="0" applyFont="1" applyBorder="1" applyAlignment="1" applyProtection="1">
      <alignment horizontal="center" vertical="center" wrapText="1"/>
      <protection hidden="1"/>
    </xf>
    <xf numFmtId="0" fontId="13" fillId="0" borderId="32" xfId="0" applyFont="1" applyFill="1" applyBorder="1" applyAlignment="1" applyProtection="1">
      <alignment horizontal="left" vertical="center"/>
      <protection hidden="1"/>
    </xf>
    <xf numFmtId="0" fontId="13" fillId="0" borderId="70" xfId="0" applyFont="1" applyFill="1" applyBorder="1" applyAlignment="1" applyProtection="1">
      <alignment horizontal="left" vertical="center"/>
      <protection hidden="1"/>
    </xf>
    <xf numFmtId="0" fontId="13" fillId="0" borderId="79" xfId="0" applyFont="1" applyFill="1" applyBorder="1" applyAlignment="1" applyProtection="1">
      <alignment horizontal="left" vertical="center"/>
      <protection hidden="1"/>
    </xf>
    <xf numFmtId="0" fontId="13" fillId="0" borderId="70" xfId="0" applyFont="1" applyFill="1" applyBorder="1" applyAlignment="1" applyProtection="1">
      <alignment horizontal="center" vertical="center"/>
      <protection hidden="1"/>
    </xf>
    <xf numFmtId="0" fontId="13" fillId="0" borderId="79" xfId="0" applyFont="1" applyFill="1" applyBorder="1" applyAlignment="1" applyProtection="1">
      <alignment horizontal="center" vertical="center"/>
      <protection hidden="1"/>
    </xf>
    <xf numFmtId="0" fontId="6" fillId="50" borderId="21" xfId="0" applyFont="1" applyFill="1" applyBorder="1" applyAlignment="1" applyProtection="1">
      <alignment vertical="center" wrapText="1"/>
      <protection hidden="1"/>
    </xf>
    <xf numFmtId="0" fontId="6" fillId="50" borderId="84" xfId="0" applyFont="1" applyFill="1" applyBorder="1" applyAlignment="1" applyProtection="1">
      <alignment vertical="center" wrapText="1"/>
      <protection hidden="1"/>
    </xf>
    <xf numFmtId="0" fontId="0" fillId="0" borderId="19" xfId="0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6" fillId="0" borderId="22" xfId="0" applyFont="1" applyBorder="1" applyAlignment="1" applyProtection="1">
      <alignment horizontal="left" vertical="center" wrapText="1"/>
      <protection hidden="1"/>
    </xf>
    <xf numFmtId="0" fontId="6" fillId="0" borderId="14" xfId="0" applyFont="1" applyBorder="1" applyAlignment="1" applyProtection="1">
      <alignment horizontal="left" vertical="center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hidden="1"/>
    </xf>
    <xf numFmtId="0" fontId="183" fillId="36" borderId="86" xfId="0" applyFont="1" applyFill="1" applyBorder="1" applyAlignment="1" applyProtection="1">
      <alignment horizontal="center"/>
      <protection hidden="1"/>
    </xf>
    <xf numFmtId="0" fontId="183" fillId="36" borderId="14" xfId="0" applyFont="1" applyFill="1" applyBorder="1" applyAlignment="1" applyProtection="1">
      <alignment horizontal="center"/>
      <protection hidden="1"/>
    </xf>
    <xf numFmtId="0" fontId="183" fillId="36" borderId="87" xfId="0" applyFont="1" applyFill="1" applyBorder="1" applyAlignment="1" applyProtection="1">
      <alignment horizontal="center"/>
      <protection hidden="1"/>
    </xf>
    <xf numFmtId="164" fontId="7" fillId="36" borderId="11" xfId="0" applyNumberFormat="1" applyFont="1" applyFill="1" applyBorder="1" applyAlignment="1" applyProtection="1">
      <alignment horizontal="right" vertical="center" wrapText="1"/>
      <protection hidden="1"/>
    </xf>
    <xf numFmtId="164" fontId="7" fillId="36" borderId="12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88" xfId="0" applyFont="1" applyBorder="1" applyAlignment="1" applyProtection="1">
      <alignment horizontal="center"/>
      <protection hidden="1"/>
    </xf>
    <xf numFmtId="49" fontId="11" fillId="0" borderId="14" xfId="0" applyNumberFormat="1" applyFont="1" applyBorder="1" applyAlignment="1" applyProtection="1">
      <alignment horizontal="center" vertical="center"/>
      <protection hidden="1"/>
    </xf>
    <xf numFmtId="49" fontId="11" fillId="0" borderId="13" xfId="0" applyNumberFormat="1" applyFont="1" applyBorder="1" applyAlignment="1" applyProtection="1">
      <alignment horizontal="center" vertical="center"/>
      <protection hidden="1"/>
    </xf>
    <xf numFmtId="49" fontId="11" fillId="0" borderId="59" xfId="0" applyNumberFormat="1" applyFont="1" applyBorder="1" applyAlignment="1" applyProtection="1">
      <alignment horizontal="center" vertical="center"/>
      <protection hidden="1"/>
    </xf>
    <xf numFmtId="49" fontId="11" fillId="0" borderId="58" xfId="0" applyNumberFormat="1" applyFont="1" applyBorder="1" applyAlignment="1" applyProtection="1">
      <alignment horizontal="center" vertical="center"/>
      <protection hidden="1"/>
    </xf>
    <xf numFmtId="0" fontId="6" fillId="0" borderId="54" xfId="56" applyFont="1" applyFill="1" applyBorder="1" applyAlignment="1" applyProtection="1">
      <alignment horizontal="left" vertical="center" wrapText="1"/>
      <protection hidden="1" locked="0"/>
    </xf>
    <xf numFmtId="0" fontId="6" fillId="0" borderId="89" xfId="56" applyFont="1" applyFill="1" applyBorder="1" applyAlignment="1" applyProtection="1">
      <alignment horizontal="left" vertical="center" wrapText="1"/>
      <protection hidden="1" locked="0"/>
    </xf>
    <xf numFmtId="0" fontId="6" fillId="0" borderId="68" xfId="56" applyFont="1" applyFill="1" applyBorder="1" applyAlignment="1" applyProtection="1">
      <alignment horizontal="left" vertical="center" wrapText="1"/>
      <protection hidden="1" locked="0"/>
    </xf>
    <xf numFmtId="0" fontId="6" fillId="0" borderId="73" xfId="0" applyFont="1" applyFill="1" applyBorder="1" applyAlignment="1" applyProtection="1">
      <alignment horizontal="left" vertical="center"/>
      <protection hidden="1"/>
    </xf>
    <xf numFmtId="0" fontId="6" fillId="0" borderId="90" xfId="0" applyFont="1" applyFill="1" applyBorder="1" applyAlignment="1" applyProtection="1">
      <alignment horizontal="left" vertical="center"/>
      <protection hidden="1"/>
    </xf>
    <xf numFmtId="0" fontId="6" fillId="0" borderId="91" xfId="0" applyFont="1" applyFill="1" applyBorder="1" applyAlignment="1" applyProtection="1">
      <alignment horizontal="left" vertical="center"/>
      <protection hidden="1"/>
    </xf>
    <xf numFmtId="0" fontId="6" fillId="0" borderId="6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92" xfId="0" applyFont="1" applyFill="1" applyBorder="1" applyAlignment="1" applyProtection="1">
      <alignment horizontal="left" vertical="center"/>
      <protection hidden="1"/>
    </xf>
    <xf numFmtId="0" fontId="167" fillId="0" borderId="0" xfId="0" applyNumberFormat="1" applyFont="1" applyBorder="1" applyAlignment="1" applyProtection="1">
      <alignment horizontal="center" vertical="center"/>
      <protection hidden="1"/>
    </xf>
    <xf numFmtId="2" fontId="179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7" fillId="50" borderId="47" xfId="0" applyNumberFormat="1" applyFont="1" applyFill="1" applyBorder="1" applyAlignment="1" applyProtection="1">
      <alignment vertical="center"/>
      <protection hidden="1"/>
    </xf>
    <xf numFmtId="0" fontId="0" fillId="0" borderId="93" xfId="0" applyBorder="1" applyAlignment="1">
      <alignment vertical="center"/>
    </xf>
    <xf numFmtId="0" fontId="7" fillId="36" borderId="36" xfId="0" applyFont="1" applyFill="1" applyBorder="1" applyAlignment="1" applyProtection="1">
      <alignment horizontal="center" vertical="top" wrapText="1"/>
      <protection hidden="1"/>
    </xf>
    <xf numFmtId="0" fontId="31" fillId="69" borderId="70" xfId="43" applyFont="1" applyFill="1" applyBorder="1" applyAlignment="1" applyProtection="1">
      <alignment vertical="center"/>
      <protection hidden="1" locked="0"/>
    </xf>
    <xf numFmtId="0" fontId="31" fillId="70" borderId="16" xfId="43" applyFont="1" applyFill="1" applyBorder="1" applyAlignment="1" applyProtection="1">
      <alignment vertical="center"/>
      <protection hidden="1" locked="0"/>
    </xf>
    <xf numFmtId="164" fontId="184" fillId="36" borderId="33" xfId="0" applyNumberFormat="1" applyFont="1" applyFill="1" applyBorder="1" applyAlignment="1" applyProtection="1">
      <alignment horizontal="center" vertical="center" wrapText="1" shrinkToFit="1"/>
      <protection hidden="1"/>
    </xf>
    <xf numFmtId="164" fontId="184" fillId="36" borderId="59" xfId="0" applyNumberFormat="1" applyFont="1" applyFill="1" applyBorder="1" applyAlignment="1" applyProtection="1">
      <alignment horizontal="center" vertical="center" wrapText="1" shrinkToFit="1"/>
      <protection hidden="1"/>
    </xf>
    <xf numFmtId="164" fontId="184" fillId="36" borderId="94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85" fillId="55" borderId="95" xfId="0" applyFont="1" applyFill="1" applyBorder="1" applyAlignment="1" applyProtection="1">
      <alignment horizontal="left" wrapText="1"/>
      <protection hidden="1"/>
    </xf>
    <xf numFmtId="0" fontId="185" fillId="55" borderId="96" xfId="0" applyFont="1" applyFill="1" applyBorder="1" applyAlignment="1" applyProtection="1">
      <alignment horizontal="left" wrapText="1"/>
      <protection hidden="1"/>
    </xf>
    <xf numFmtId="0" fontId="185" fillId="55" borderId="97" xfId="0" applyFont="1" applyFill="1" applyBorder="1" applyAlignment="1" applyProtection="1">
      <alignment horizontal="left" wrapText="1"/>
      <protection hidden="1"/>
    </xf>
    <xf numFmtId="0" fontId="52" fillId="0" borderId="33" xfId="0" applyFont="1" applyBorder="1" applyAlignment="1" applyProtection="1">
      <alignment horizontal="center" vertical="top"/>
      <protection hidden="1"/>
    </xf>
    <xf numFmtId="0" fontId="52" fillId="0" borderId="59" xfId="0" applyFont="1" applyBorder="1" applyAlignment="1" applyProtection="1">
      <alignment horizontal="center" vertical="top"/>
      <protection hidden="1"/>
    </xf>
    <xf numFmtId="0" fontId="52" fillId="0" borderId="58" xfId="0" applyFont="1" applyBorder="1" applyAlignment="1" applyProtection="1">
      <alignment horizontal="center" vertical="top"/>
      <protection hidden="1"/>
    </xf>
    <xf numFmtId="0" fontId="169" fillId="0" borderId="54" xfId="0" applyFont="1" applyFill="1" applyBorder="1" applyAlignment="1" applyProtection="1">
      <alignment horizontal="right" vertical="center" wrapText="1"/>
      <protection hidden="1"/>
    </xf>
    <xf numFmtId="0" fontId="169" fillId="0" borderId="98" xfId="0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Border="1" applyAlignment="1" applyProtection="1">
      <alignment horizontal="left" wrapText="1"/>
      <protection hidden="1"/>
    </xf>
    <xf numFmtId="2" fontId="11" fillId="0" borderId="59" xfId="0" applyNumberFormat="1" applyFont="1" applyBorder="1" applyAlignment="1" applyProtection="1">
      <alignment horizontal="left" vertical="center" wrapText="1"/>
      <protection hidden="1"/>
    </xf>
    <xf numFmtId="0" fontId="11" fillId="0" borderId="33" xfId="0" applyFont="1" applyBorder="1" applyAlignment="1" applyProtection="1">
      <alignment horizontal="left" vertical="center"/>
      <protection hidden="1"/>
    </xf>
    <xf numFmtId="0" fontId="11" fillId="0" borderId="59" xfId="0" applyFont="1" applyBorder="1" applyAlignment="1" applyProtection="1">
      <alignment horizontal="left" vertical="center"/>
      <protection hidden="1"/>
    </xf>
    <xf numFmtId="0" fontId="11" fillId="0" borderId="58" xfId="0" applyFont="1" applyBorder="1" applyAlignment="1" applyProtection="1">
      <alignment horizontal="left" vertical="center"/>
      <protection hidden="1"/>
    </xf>
    <xf numFmtId="0" fontId="6" fillId="36" borderId="33" xfId="0" applyFont="1" applyFill="1" applyBorder="1" applyAlignment="1" applyProtection="1">
      <alignment horizontal="center" vertical="center" wrapText="1"/>
      <protection hidden="1"/>
    </xf>
    <xf numFmtId="0" fontId="6" fillId="36" borderId="59" xfId="0" applyFont="1" applyFill="1" applyBorder="1" applyAlignment="1" applyProtection="1">
      <alignment horizontal="center" vertical="center" wrapText="1"/>
      <protection hidden="1"/>
    </xf>
    <xf numFmtId="0" fontId="6" fillId="36" borderId="5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32" borderId="11" xfId="0" applyFont="1" applyFill="1" applyBorder="1" applyAlignment="1" applyProtection="1">
      <alignment horizontal="center" vertical="center"/>
      <protection hidden="1"/>
    </xf>
    <xf numFmtId="0" fontId="14" fillId="32" borderId="12" xfId="0" applyFont="1" applyFill="1" applyBorder="1" applyAlignment="1" applyProtection="1">
      <alignment horizontal="center" vertical="center"/>
      <protection hidden="1"/>
    </xf>
    <xf numFmtId="0" fontId="4" fillId="41" borderId="42" xfId="0" applyFont="1" applyFill="1" applyBorder="1" applyAlignment="1" applyProtection="1">
      <alignment horizontal="center" vertical="center" wrapText="1"/>
      <protection hidden="1"/>
    </xf>
    <xf numFmtId="0" fontId="4" fillId="41" borderId="0" xfId="0" applyFont="1" applyFill="1" applyBorder="1" applyAlignment="1" applyProtection="1">
      <alignment horizontal="center" vertical="center" wrapText="1"/>
      <protection hidden="1"/>
    </xf>
    <xf numFmtId="0" fontId="4" fillId="41" borderId="30" xfId="0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Alignment="1" applyProtection="1">
      <alignment horizontal="left" wrapText="1"/>
      <protection hidden="1"/>
    </xf>
    <xf numFmtId="0" fontId="7" fillId="36" borderId="99" xfId="0" applyFont="1" applyFill="1" applyBorder="1" applyAlignment="1" applyProtection="1">
      <alignment horizontal="center" vertical="center"/>
      <protection hidden="1"/>
    </xf>
    <xf numFmtId="0" fontId="7" fillId="36" borderId="100" xfId="0" applyFont="1" applyFill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left" vertical="center"/>
      <protection hidden="1"/>
    </xf>
    <xf numFmtId="164" fontId="157" fillId="36" borderId="11" xfId="0" applyNumberFormat="1" applyFont="1" applyFill="1" applyBorder="1" applyAlignment="1" applyProtection="1">
      <alignment horizontal="right" vertical="center"/>
      <protection hidden="1"/>
    </xf>
    <xf numFmtId="164" fontId="157" fillId="36" borderId="12" xfId="0" applyNumberFormat="1" applyFont="1" applyFill="1" applyBorder="1" applyAlignment="1" applyProtection="1">
      <alignment horizontal="right" vertical="center"/>
      <protection hidden="1"/>
    </xf>
    <xf numFmtId="0" fontId="172" fillId="32" borderId="19" xfId="0" applyFont="1" applyFill="1" applyBorder="1" applyAlignment="1" applyProtection="1">
      <alignment horizontal="left" vertical="center"/>
      <protection hidden="1"/>
    </xf>
    <xf numFmtId="0" fontId="172" fillId="32" borderId="88" xfId="0" applyFont="1" applyFill="1" applyBorder="1" applyAlignment="1" applyProtection="1">
      <alignment horizontal="left" vertical="center"/>
      <protection hidden="1"/>
    </xf>
    <xf numFmtId="0" fontId="172" fillId="32" borderId="85" xfId="0" applyFont="1" applyFill="1" applyBorder="1" applyAlignment="1" applyProtection="1">
      <alignment horizontal="left" vertical="center"/>
      <protection hidden="1"/>
    </xf>
    <xf numFmtId="164" fontId="7" fillId="41" borderId="0" xfId="0" applyNumberFormat="1" applyFont="1" applyFill="1" applyBorder="1" applyAlignment="1" applyProtection="1">
      <alignment horizontal="center" vertical="center" wrapText="1"/>
      <protection hidden="1"/>
    </xf>
    <xf numFmtId="164" fontId="9" fillId="41" borderId="92" xfId="0" applyNumberFormat="1" applyFont="1" applyFill="1" applyBorder="1" applyAlignment="1" applyProtection="1">
      <alignment horizontal="center" vertical="center" wrapText="1"/>
      <protection hidden="1"/>
    </xf>
    <xf numFmtId="164" fontId="11" fillId="32" borderId="11" xfId="0" applyNumberFormat="1" applyFont="1" applyFill="1" applyBorder="1" applyAlignment="1" applyProtection="1">
      <alignment horizontal="right" vertical="center"/>
      <protection hidden="1"/>
    </xf>
    <xf numFmtId="164" fontId="11" fillId="32" borderId="12" xfId="0" applyNumberFormat="1" applyFont="1" applyFill="1" applyBorder="1" applyAlignment="1" applyProtection="1">
      <alignment horizontal="right" vertical="center"/>
      <protection hidden="1"/>
    </xf>
    <xf numFmtId="0" fontId="8" fillId="32" borderId="47" xfId="0" applyFont="1" applyFill="1" applyBorder="1" applyAlignment="1" applyProtection="1">
      <alignment horizontal="center" vertical="center"/>
      <protection hidden="1"/>
    </xf>
    <xf numFmtId="0" fontId="8" fillId="32" borderId="93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horizontal="left" vertical="center" wrapText="1"/>
      <protection hidden="1"/>
    </xf>
    <xf numFmtId="0" fontId="7" fillId="0" borderId="48" xfId="0" applyFont="1" applyBorder="1" applyAlignment="1" applyProtection="1">
      <alignment horizontal="left" vertical="center"/>
      <protection hidden="1"/>
    </xf>
    <xf numFmtId="0" fontId="7" fillId="0" borderId="101" xfId="0" applyFont="1" applyBorder="1" applyAlignment="1" applyProtection="1">
      <alignment horizontal="left" vertical="center"/>
      <protection hidden="1"/>
    </xf>
    <xf numFmtId="0" fontId="7" fillId="0" borderId="102" xfId="0" applyFont="1" applyBorder="1" applyAlignment="1" applyProtection="1">
      <alignment horizontal="left" vertical="center"/>
      <protection hidden="1"/>
    </xf>
    <xf numFmtId="0" fontId="7" fillId="36" borderId="99" xfId="0" applyFont="1" applyFill="1" applyBorder="1" applyAlignment="1" applyProtection="1">
      <alignment horizontal="center" vertical="center" wrapText="1"/>
      <protection hidden="1"/>
    </xf>
    <xf numFmtId="0" fontId="7" fillId="36" borderId="100" xfId="0" applyFont="1" applyFill="1" applyBorder="1" applyAlignment="1" applyProtection="1">
      <alignment horizontal="center" vertical="center" wrapText="1"/>
      <protection hidden="1"/>
    </xf>
    <xf numFmtId="0" fontId="6" fillId="36" borderId="22" xfId="0" applyFont="1" applyFill="1" applyBorder="1" applyAlignment="1" applyProtection="1">
      <alignment horizontal="left" vertical="top"/>
      <protection hidden="1"/>
    </xf>
    <xf numFmtId="0" fontId="6" fillId="36" borderId="14" xfId="0" applyFont="1" applyFill="1" applyBorder="1" applyAlignment="1" applyProtection="1">
      <alignment horizontal="left" vertical="top"/>
      <protection hidden="1"/>
    </xf>
    <xf numFmtId="0" fontId="6" fillId="36" borderId="13" xfId="0" applyFont="1" applyFill="1" applyBorder="1" applyAlignment="1" applyProtection="1">
      <alignment horizontal="left" vertical="top"/>
      <protection hidden="1"/>
    </xf>
    <xf numFmtId="0" fontId="5" fillId="68" borderId="42" xfId="0" applyFont="1" applyFill="1" applyBorder="1" applyAlignment="1" applyProtection="1">
      <alignment horizontal="center" vertical="center"/>
      <protection hidden="1" locked="0"/>
    </xf>
    <xf numFmtId="0" fontId="5" fillId="68" borderId="0" xfId="0" applyFont="1" applyFill="1" applyBorder="1" applyAlignment="1" applyProtection="1">
      <alignment horizontal="center" vertical="center"/>
      <protection hidden="1" locked="0"/>
    </xf>
    <xf numFmtId="0" fontId="6" fillId="0" borderId="54" xfId="56" applyFont="1" applyFill="1" applyBorder="1" applyAlignment="1" applyProtection="1">
      <alignment horizontal="left" vertical="center" wrapText="1"/>
      <protection hidden="1"/>
    </xf>
    <xf numFmtId="0" fontId="6" fillId="0" borderId="89" xfId="56" applyFont="1" applyFill="1" applyBorder="1" applyAlignment="1" applyProtection="1">
      <alignment horizontal="left" vertical="center" wrapText="1"/>
      <protection hidden="1"/>
    </xf>
    <xf numFmtId="0" fontId="6" fillId="0" borderId="67" xfId="56" applyFont="1" applyFill="1" applyBorder="1" applyAlignment="1" applyProtection="1">
      <alignment horizontal="left" vertical="center" wrapText="1"/>
      <protection hidden="1"/>
    </xf>
    <xf numFmtId="164" fontId="11" fillId="36" borderId="64" xfId="0" applyNumberFormat="1" applyFont="1" applyFill="1" applyBorder="1" applyAlignment="1" applyProtection="1">
      <alignment horizontal="center" vertical="center" wrapText="1"/>
      <protection hidden="1"/>
    </xf>
    <xf numFmtId="164" fontId="30" fillId="36" borderId="9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horizontal="left" vertical="center" wrapText="1"/>
      <protection hidden="1"/>
    </xf>
    <xf numFmtId="0" fontId="7" fillId="0" borderId="33" xfId="0" applyFont="1" applyBorder="1" applyAlignment="1" applyProtection="1">
      <alignment horizontal="left" vertical="center" wrapText="1"/>
      <protection hidden="1"/>
    </xf>
    <xf numFmtId="0" fontId="7" fillId="0" borderId="59" xfId="0" applyFont="1" applyBorder="1" applyAlignment="1" applyProtection="1">
      <alignment horizontal="left" vertical="center" wrapText="1"/>
      <protection hidden="1"/>
    </xf>
    <xf numFmtId="2" fontId="5" fillId="0" borderId="0" xfId="0" applyNumberFormat="1" applyFont="1" applyBorder="1" applyAlignment="1" applyProtection="1">
      <alignment horizontal="center" vertical="center" wrapText="1"/>
      <protection hidden="1"/>
    </xf>
    <xf numFmtId="0" fontId="6" fillId="7" borderId="54" xfId="0" applyFont="1" applyFill="1" applyBorder="1" applyAlignment="1" applyProtection="1">
      <alignment horizontal="left" vertical="center" wrapText="1"/>
      <protection hidden="1"/>
    </xf>
    <xf numFmtId="0" fontId="6" fillId="7" borderId="89" xfId="0" applyFont="1" applyFill="1" applyBorder="1" applyAlignment="1" applyProtection="1">
      <alignment horizontal="left" vertical="center"/>
      <protection hidden="1"/>
    </xf>
    <xf numFmtId="0" fontId="6" fillId="7" borderId="67" xfId="0" applyFont="1" applyFill="1" applyBorder="1" applyAlignment="1" applyProtection="1">
      <alignment horizontal="left" vertical="center"/>
      <protection hidden="1"/>
    </xf>
    <xf numFmtId="0" fontId="7" fillId="36" borderId="103" xfId="0" applyFont="1" applyFill="1" applyBorder="1" applyAlignment="1" applyProtection="1">
      <alignment horizontal="center" vertical="center"/>
      <protection hidden="1"/>
    </xf>
    <xf numFmtId="0" fontId="7" fillId="36" borderId="43" xfId="0" applyFont="1" applyFill="1" applyBorder="1" applyAlignment="1" applyProtection="1">
      <alignment horizontal="center" vertical="center"/>
      <protection hidden="1"/>
    </xf>
    <xf numFmtId="0" fontId="6" fillId="0" borderId="68" xfId="56" applyFont="1" applyFill="1" applyBorder="1" applyAlignment="1" applyProtection="1">
      <alignment horizontal="left" vertical="center" wrapText="1"/>
      <protection hidden="1"/>
    </xf>
    <xf numFmtId="0" fontId="158" fillId="0" borderId="10" xfId="0" applyFont="1" applyBorder="1" applyAlignment="1" applyProtection="1">
      <alignment horizontal="center" vertical="center" wrapText="1"/>
      <protection hidden="1"/>
    </xf>
    <xf numFmtId="164" fontId="9" fillId="32" borderId="11" xfId="0" applyNumberFormat="1" applyFont="1" applyFill="1" applyBorder="1" applyAlignment="1" applyProtection="1">
      <alignment horizontal="right" vertical="center" wrapText="1"/>
      <protection hidden="1"/>
    </xf>
    <xf numFmtId="164" fontId="9" fillId="32" borderId="12" xfId="0" applyNumberFormat="1" applyFont="1" applyFill="1" applyBorder="1" applyAlignment="1" applyProtection="1">
      <alignment horizontal="right" vertical="center" wrapText="1"/>
      <protection hidden="1"/>
    </xf>
    <xf numFmtId="164" fontId="151" fillId="32" borderId="82" xfId="0" applyNumberFormat="1" applyFont="1" applyFill="1" applyBorder="1" applyAlignment="1" applyProtection="1">
      <alignment horizontal="left" vertical="center" wrapText="1"/>
      <protection hidden="1"/>
    </xf>
    <xf numFmtId="164" fontId="151" fillId="32" borderId="104" xfId="0" applyNumberFormat="1" applyFont="1" applyFill="1" applyBorder="1" applyAlignment="1" applyProtection="1">
      <alignment horizontal="left" vertical="center" wrapText="1"/>
      <protection hidden="1"/>
    </xf>
    <xf numFmtId="164" fontId="23" fillId="21" borderId="49" xfId="0" applyNumberFormat="1" applyFont="1" applyFill="1" applyBorder="1" applyAlignment="1" applyProtection="1">
      <alignment horizontal="right" vertical="center"/>
      <protection hidden="1"/>
    </xf>
    <xf numFmtId="164" fontId="23" fillId="21" borderId="15" xfId="0" applyNumberFormat="1" applyFont="1" applyFill="1" applyBorder="1" applyAlignment="1" applyProtection="1">
      <alignment horizontal="right" vertical="center"/>
      <protection hidden="1"/>
    </xf>
    <xf numFmtId="164" fontId="23" fillId="21" borderId="17" xfId="0" applyNumberFormat="1" applyFont="1" applyFill="1" applyBorder="1" applyAlignment="1" applyProtection="1">
      <alignment horizontal="right" vertical="center"/>
      <protection hidden="1"/>
    </xf>
    <xf numFmtId="164" fontId="151" fillId="32" borderId="80" xfId="0" applyNumberFormat="1" applyFont="1" applyFill="1" applyBorder="1" applyAlignment="1" applyProtection="1">
      <alignment horizontal="left" vertical="center" wrapText="1"/>
      <protection hidden="1"/>
    </xf>
    <xf numFmtId="49" fontId="11" fillId="71" borderId="42" xfId="0" applyNumberFormat="1" applyFont="1" applyFill="1" applyBorder="1" applyAlignment="1" applyProtection="1">
      <alignment horizontal="center" vertical="center"/>
      <protection hidden="1" locked="0"/>
    </xf>
    <xf numFmtId="49" fontId="11" fillId="72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73" borderId="30" xfId="0" applyNumberFormat="1" applyFont="1" applyFill="1" applyBorder="1" applyAlignment="1" applyProtection="1">
      <alignment horizontal="center" vertical="center"/>
      <protection hidden="1" locked="0"/>
    </xf>
    <xf numFmtId="0" fontId="59" fillId="0" borderId="105" xfId="0" applyFont="1" applyBorder="1" applyAlignment="1" applyProtection="1">
      <alignment horizontal="center" vertical="center"/>
      <protection hidden="1"/>
    </xf>
    <xf numFmtId="0" fontId="59" fillId="0" borderId="88" xfId="0" applyFont="1" applyBorder="1" applyAlignment="1" applyProtection="1">
      <alignment horizontal="center" vertical="center"/>
      <protection hidden="1"/>
    </xf>
    <xf numFmtId="0" fontId="14" fillId="50" borderId="49" xfId="0" applyFont="1" applyFill="1" applyBorder="1" applyAlignment="1" applyProtection="1">
      <alignment horizontal="center" vertical="center"/>
      <protection hidden="1"/>
    </xf>
    <xf numFmtId="0" fontId="14" fillId="50" borderId="17" xfId="0" applyFont="1" applyFill="1" applyBorder="1" applyAlignment="1" applyProtection="1">
      <alignment horizontal="center" vertical="center"/>
      <protection hidden="1"/>
    </xf>
    <xf numFmtId="0" fontId="6" fillId="50" borderId="57" xfId="0" applyFont="1" applyFill="1" applyBorder="1" applyAlignment="1" applyProtection="1">
      <alignment horizontal="center" vertical="center" wrapText="1"/>
      <protection hidden="1"/>
    </xf>
    <xf numFmtId="0" fontId="6" fillId="50" borderId="84" xfId="0" applyFont="1" applyFill="1" applyBorder="1" applyAlignment="1" applyProtection="1">
      <alignment horizontal="center" vertical="center" wrapText="1"/>
      <protection hidden="1"/>
    </xf>
    <xf numFmtId="0" fontId="6" fillId="50" borderId="0" xfId="0" applyFont="1" applyFill="1" applyBorder="1" applyAlignment="1" applyProtection="1">
      <alignment horizontal="center" vertical="center" wrapText="1"/>
      <protection hidden="1"/>
    </xf>
    <xf numFmtId="0" fontId="6" fillId="50" borderId="92" xfId="0" applyFont="1" applyFill="1" applyBorder="1" applyAlignment="1" applyProtection="1">
      <alignment horizontal="center" vertical="center" wrapText="1"/>
      <protection hidden="1"/>
    </xf>
    <xf numFmtId="0" fontId="6" fillId="50" borderId="88" xfId="0" applyFont="1" applyFill="1" applyBorder="1" applyAlignment="1" applyProtection="1">
      <alignment horizontal="center" vertical="center" wrapText="1"/>
      <protection hidden="1"/>
    </xf>
    <xf numFmtId="0" fontId="6" fillId="50" borderId="85" xfId="0" applyFont="1" applyFill="1" applyBorder="1" applyAlignment="1" applyProtection="1">
      <alignment horizontal="center" vertical="center" wrapText="1"/>
      <protection hidden="1"/>
    </xf>
    <xf numFmtId="0" fontId="13" fillId="0" borderId="89" xfId="0" applyFont="1" applyFill="1" applyBorder="1" applyAlignment="1" applyProtection="1">
      <alignment horizontal="center" vertical="center"/>
      <protection hidden="1"/>
    </xf>
    <xf numFmtId="0" fontId="13" fillId="0" borderId="68" xfId="0" applyFont="1" applyFill="1" applyBorder="1" applyAlignment="1" applyProtection="1">
      <alignment horizontal="center" vertical="center"/>
      <protection hidden="1"/>
    </xf>
    <xf numFmtId="0" fontId="6" fillId="36" borderId="20" xfId="0" applyFont="1" applyFill="1" applyBorder="1" applyAlignment="1" applyProtection="1">
      <alignment horizontal="left" vertical="center" wrapText="1" indent="1"/>
      <protection hidden="1"/>
    </xf>
    <xf numFmtId="0" fontId="6" fillId="36" borderId="23" xfId="0" applyFont="1" applyFill="1" applyBorder="1" applyAlignment="1" applyProtection="1">
      <alignment horizontal="left" vertical="center" wrapText="1" indent="1"/>
      <protection hidden="1"/>
    </xf>
    <xf numFmtId="0" fontId="6" fillId="50" borderId="10" xfId="0" applyFont="1" applyFill="1" applyBorder="1" applyAlignment="1" applyProtection="1">
      <alignment horizontal="center" vertical="center" wrapText="1"/>
      <protection hidden="1"/>
    </xf>
    <xf numFmtId="49" fontId="11" fillId="7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75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76" borderId="59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77" borderId="58" xfId="0" applyNumberFormat="1" applyFont="1" applyFill="1" applyBorder="1" applyAlignment="1" applyProtection="1">
      <alignment horizontal="center" vertical="center" wrapText="1"/>
      <protection hidden="1" locked="0"/>
    </xf>
    <xf numFmtId="0" fontId="186" fillId="0" borderId="106" xfId="0" applyFont="1" applyBorder="1" applyAlignment="1" applyProtection="1">
      <alignment horizontal="right" vertical="center"/>
      <protection hidden="1"/>
    </xf>
    <xf numFmtId="0" fontId="186" fillId="0" borderId="107" xfId="0" applyFont="1" applyBorder="1" applyAlignment="1" applyProtection="1">
      <alignment horizontal="right" vertical="center"/>
      <protection hidden="1"/>
    </xf>
    <xf numFmtId="0" fontId="36" fillId="78" borderId="106" xfId="0" applyFont="1" applyFill="1" applyBorder="1" applyAlignment="1" applyProtection="1">
      <alignment horizontal="left" vertical="center" indent="2"/>
      <protection hidden="1"/>
    </xf>
    <xf numFmtId="0" fontId="36" fillId="79" borderId="107" xfId="0" applyFont="1" applyFill="1" applyBorder="1" applyAlignment="1" applyProtection="1">
      <alignment horizontal="left" vertical="center" indent="2"/>
      <protection hidden="1"/>
    </xf>
    <xf numFmtId="1" fontId="11" fillId="80" borderId="33" xfId="0" applyNumberFormat="1" applyFont="1" applyFill="1" applyBorder="1" applyAlignment="1" applyProtection="1">
      <alignment horizontal="left" vertical="top" indent="9"/>
      <protection hidden="1" locked="0"/>
    </xf>
    <xf numFmtId="1" fontId="11" fillId="81" borderId="59" xfId="0" applyNumberFormat="1" applyFont="1" applyFill="1" applyBorder="1" applyAlignment="1" applyProtection="1">
      <alignment horizontal="left" vertical="top" indent="9"/>
      <protection hidden="1" locked="0"/>
    </xf>
    <xf numFmtId="0" fontId="6" fillId="36" borderId="22" xfId="0" applyFont="1" applyFill="1" applyBorder="1" applyAlignment="1" applyProtection="1">
      <alignment horizontal="left" vertical="top" wrapText="1"/>
      <protection hidden="1"/>
    </xf>
    <xf numFmtId="0" fontId="6" fillId="36" borderId="14" xfId="0" applyFont="1" applyFill="1" applyBorder="1" applyAlignment="1" applyProtection="1">
      <alignment horizontal="left" vertical="top" wrapText="1"/>
      <protection hidden="1"/>
    </xf>
    <xf numFmtId="0" fontId="13" fillId="0" borderId="54" xfId="0" applyFont="1" applyFill="1" applyBorder="1" applyAlignment="1" applyProtection="1">
      <alignment horizontal="center" vertical="center"/>
      <protection hidden="1"/>
    </xf>
    <xf numFmtId="164" fontId="6" fillId="0" borderId="108" xfId="0" applyNumberFormat="1" applyFont="1" applyFill="1" applyBorder="1" applyAlignment="1" applyProtection="1">
      <alignment horizontal="right" vertical="center"/>
      <protection hidden="1"/>
    </xf>
    <xf numFmtId="164" fontId="6" fillId="0" borderId="31" xfId="0" applyNumberFormat="1" applyFont="1" applyFill="1" applyBorder="1" applyAlignment="1" applyProtection="1">
      <alignment horizontal="right" vertical="center"/>
      <protection hidden="1"/>
    </xf>
    <xf numFmtId="164" fontId="146" fillId="50" borderId="49" xfId="0" applyNumberFormat="1" applyFont="1" applyFill="1" applyBorder="1" applyAlignment="1" applyProtection="1">
      <alignment horizontal="right" vertical="center"/>
      <protection hidden="1"/>
    </xf>
    <xf numFmtId="164" fontId="146" fillId="50" borderId="17" xfId="0" applyNumberFormat="1" applyFont="1" applyFill="1" applyBorder="1" applyAlignment="1" applyProtection="1">
      <alignment horizontal="right" vertical="center"/>
      <protection hidden="1"/>
    </xf>
    <xf numFmtId="0" fontId="6" fillId="36" borderId="22" xfId="0" applyFont="1" applyFill="1" applyBorder="1" applyAlignment="1" applyProtection="1">
      <alignment horizontal="left" wrapText="1"/>
      <protection hidden="1"/>
    </xf>
    <xf numFmtId="0" fontId="6" fillId="36" borderId="14" xfId="0" applyFont="1" applyFill="1" applyBorder="1" applyAlignment="1" applyProtection="1">
      <alignment horizontal="left" wrapText="1"/>
      <protection hidden="1"/>
    </xf>
    <xf numFmtId="0" fontId="6" fillId="36" borderId="13" xfId="0" applyFont="1" applyFill="1" applyBorder="1" applyAlignment="1" applyProtection="1">
      <alignment horizontal="left" wrapText="1"/>
      <protection hidden="1"/>
    </xf>
    <xf numFmtId="164" fontId="9" fillId="32" borderId="49" xfId="0" applyNumberFormat="1" applyFont="1" applyFill="1" applyBorder="1" applyAlignment="1" applyProtection="1">
      <alignment horizontal="right" vertical="center" wrapText="1"/>
      <protection hidden="1"/>
    </xf>
    <xf numFmtId="164" fontId="9" fillId="32" borderId="17" xfId="0" applyNumberFormat="1" applyFont="1" applyFill="1" applyBorder="1" applyAlignment="1" applyProtection="1">
      <alignment horizontal="right" vertical="center" wrapText="1"/>
      <protection hidden="1"/>
    </xf>
    <xf numFmtId="0" fontId="11" fillId="32" borderId="0" xfId="0" applyFont="1" applyFill="1" applyBorder="1" applyAlignment="1" applyProtection="1">
      <alignment horizontal="left" vertical="center"/>
      <protection hidden="1"/>
    </xf>
    <xf numFmtId="0" fontId="172" fillId="32" borderId="32" xfId="0" applyFont="1" applyFill="1" applyBorder="1" applyAlignment="1" applyProtection="1">
      <alignment horizontal="left" vertical="center"/>
      <protection hidden="1"/>
    </xf>
    <xf numFmtId="0" fontId="172" fillId="32" borderId="70" xfId="0" applyFont="1" applyFill="1" applyBorder="1" applyAlignment="1" applyProtection="1">
      <alignment horizontal="left" vertical="center"/>
      <protection hidden="1"/>
    </xf>
    <xf numFmtId="0" fontId="172" fillId="32" borderId="16" xfId="0" applyFont="1" applyFill="1" applyBorder="1" applyAlignment="1" applyProtection="1">
      <alignment horizontal="left" vertical="center"/>
      <protection hidden="1"/>
    </xf>
    <xf numFmtId="0" fontId="187" fillId="82" borderId="109" xfId="0" applyFont="1" applyFill="1" applyBorder="1" applyAlignment="1" applyProtection="1">
      <alignment horizontal="left" vertical="center" wrapText="1"/>
      <protection hidden="1"/>
    </xf>
    <xf numFmtId="0" fontId="187" fillId="83" borderId="110" xfId="0" applyFont="1" applyFill="1" applyBorder="1" applyAlignment="1" applyProtection="1">
      <alignment horizontal="left" vertical="center" wrapText="1"/>
      <protection hidden="1"/>
    </xf>
    <xf numFmtId="0" fontId="187" fillId="84" borderId="111" xfId="0" applyFont="1" applyFill="1" applyBorder="1" applyAlignment="1" applyProtection="1">
      <alignment horizontal="left" vertical="center" wrapText="1"/>
      <protection hidden="1"/>
    </xf>
    <xf numFmtId="2" fontId="7" fillId="0" borderId="38" xfId="0" applyNumberFormat="1" applyFont="1" applyBorder="1" applyAlignment="1" applyProtection="1">
      <alignment horizontal="center" vertical="top"/>
      <protection hidden="1"/>
    </xf>
    <xf numFmtId="0" fontId="12" fillId="48" borderId="112" xfId="0" applyFont="1" applyFill="1" applyBorder="1" applyAlignment="1" applyProtection="1">
      <alignment horizontal="center" vertical="center"/>
      <protection hidden="1"/>
    </xf>
    <xf numFmtId="0" fontId="12" fillId="48" borderId="25" xfId="0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Alignment="1" applyProtection="1">
      <alignment horizontal="left" vertical="center" wrapText="1"/>
      <protection hidden="1"/>
    </xf>
    <xf numFmtId="0" fontId="61" fillId="0" borderId="73" xfId="0" applyFont="1" applyFill="1" applyBorder="1" applyAlignment="1" applyProtection="1">
      <alignment horizontal="left" vertical="center"/>
      <protection hidden="1"/>
    </xf>
    <xf numFmtId="0" fontId="61" fillId="0" borderId="90" xfId="0" applyFont="1" applyFill="1" applyBorder="1" applyAlignment="1" applyProtection="1">
      <alignment horizontal="left" vertical="center"/>
      <protection hidden="1"/>
    </xf>
    <xf numFmtId="0" fontId="61" fillId="0" borderId="91" xfId="0" applyFont="1" applyFill="1" applyBorder="1" applyAlignment="1" applyProtection="1">
      <alignment horizontal="left" vertical="center"/>
      <protection hidden="1"/>
    </xf>
    <xf numFmtId="0" fontId="30" fillId="0" borderId="0" xfId="0" applyNumberFormat="1" applyFont="1" applyAlignment="1" applyProtection="1">
      <alignment horizontal="left" vertical="center" wrapText="1"/>
      <protection hidden="1"/>
    </xf>
    <xf numFmtId="164" fontId="11" fillId="32" borderId="11" xfId="0" applyNumberFormat="1" applyFont="1" applyFill="1" applyBorder="1" applyAlignment="1" applyProtection="1">
      <alignment horizontal="right" vertical="center" wrapText="1"/>
      <protection hidden="1"/>
    </xf>
    <xf numFmtId="164" fontId="11" fillId="32" borderId="12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84" xfId="0" applyFont="1" applyBorder="1" applyAlignment="1" applyProtection="1">
      <alignment horizontal="left" vertical="center"/>
      <protection hidden="1"/>
    </xf>
    <xf numFmtId="0" fontId="11" fillId="0" borderId="33" xfId="0" applyNumberFormat="1" applyFont="1" applyFill="1" applyBorder="1" applyAlignment="1" applyProtection="1">
      <alignment horizontal="center" vertical="center"/>
      <protection hidden="1"/>
    </xf>
    <xf numFmtId="0" fontId="11" fillId="0" borderId="59" xfId="0" applyNumberFormat="1" applyFont="1" applyFill="1" applyBorder="1" applyAlignment="1" applyProtection="1">
      <alignment horizontal="center" vertical="center"/>
      <protection hidden="1"/>
    </xf>
    <xf numFmtId="0" fontId="11" fillId="0" borderId="58" xfId="0" applyNumberFormat="1" applyFont="1" applyFill="1" applyBorder="1" applyAlignment="1" applyProtection="1">
      <alignment horizontal="center" vertical="center"/>
      <protection hidden="1"/>
    </xf>
    <xf numFmtId="0" fontId="7" fillId="36" borderId="103" xfId="0" applyFont="1" applyFill="1" applyBorder="1" applyAlignment="1" applyProtection="1">
      <alignment horizontal="left" vertical="center"/>
      <protection hidden="1"/>
    </xf>
    <xf numFmtId="0" fontId="7" fillId="36" borderId="43" xfId="0" applyFont="1" applyFill="1" applyBorder="1" applyAlignment="1" applyProtection="1">
      <alignment horizontal="left" vertical="center"/>
      <protection hidden="1"/>
    </xf>
    <xf numFmtId="0" fontId="40" fillId="0" borderId="14" xfId="0" applyFont="1" applyFill="1" applyBorder="1" applyAlignment="1" applyProtection="1">
      <alignment horizontal="left" wrapText="1"/>
      <protection hidden="1"/>
    </xf>
    <xf numFmtId="0" fontId="24" fillId="0" borderId="34" xfId="0" applyFont="1" applyBorder="1" applyAlignment="1" applyProtection="1">
      <alignment horizontal="left" wrapText="1" indent="2"/>
      <protection hidden="1"/>
    </xf>
    <xf numFmtId="0" fontId="24" fillId="0" borderId="36" xfId="0" applyFont="1" applyBorder="1" applyAlignment="1" applyProtection="1">
      <alignment horizontal="left" wrapText="1" indent="2"/>
      <protection hidden="1"/>
    </xf>
    <xf numFmtId="0" fontId="24" fillId="0" borderId="107" xfId="0" applyFont="1" applyBorder="1" applyAlignment="1" applyProtection="1">
      <alignment horizontal="left" wrapText="1" indent="2"/>
      <protection hidden="1"/>
    </xf>
    <xf numFmtId="0" fontId="147" fillId="85" borderId="113" xfId="0" applyFont="1" applyFill="1" applyBorder="1" applyAlignment="1" applyProtection="1">
      <alignment horizontal="left" vertical="center" wrapText="1"/>
      <protection hidden="1"/>
    </xf>
    <xf numFmtId="0" fontId="147" fillId="85" borderId="36" xfId="0" applyFont="1" applyFill="1" applyBorder="1" applyAlignment="1" applyProtection="1">
      <alignment horizontal="left" vertical="center" wrapText="1"/>
      <protection hidden="1"/>
    </xf>
    <xf numFmtId="0" fontId="147" fillId="85" borderId="114" xfId="0" applyFont="1" applyFill="1" applyBorder="1" applyAlignment="1" applyProtection="1">
      <alignment horizontal="left" vertical="center" wrapText="1"/>
      <protection hidden="1"/>
    </xf>
    <xf numFmtId="0" fontId="7" fillId="36" borderId="115" xfId="0" applyFont="1" applyFill="1" applyBorder="1" applyAlignment="1" applyProtection="1">
      <alignment horizontal="center" vertical="center" wrapText="1"/>
      <protection hidden="1"/>
    </xf>
    <xf numFmtId="0" fontId="7" fillId="36" borderId="104" xfId="0" applyFont="1" applyFill="1" applyBorder="1" applyAlignment="1" applyProtection="1">
      <alignment horizontal="center" vertical="center" wrapText="1"/>
      <protection hidden="1"/>
    </xf>
    <xf numFmtId="0" fontId="14" fillId="0" borderId="18" xfId="0" applyFont="1" applyFill="1" applyBorder="1" applyAlignment="1" applyProtection="1">
      <alignment horizontal="center" vertical="center"/>
      <protection hidden="1"/>
    </xf>
    <xf numFmtId="164" fontId="11" fillId="86" borderId="18" xfId="0" applyNumberFormat="1" applyFont="1" applyFill="1" applyBorder="1" applyAlignment="1" applyProtection="1">
      <alignment horizontal="right" vertical="center"/>
      <protection hidden="1" locked="0"/>
    </xf>
    <xf numFmtId="0" fontId="13" fillId="0" borderId="90" xfId="0" applyFont="1" applyFill="1" applyBorder="1" applyAlignment="1" applyProtection="1">
      <alignment horizontal="center" vertical="center"/>
      <protection hidden="1"/>
    </xf>
    <xf numFmtId="0" fontId="13" fillId="0" borderId="75" xfId="0" applyFont="1" applyFill="1" applyBorder="1" applyAlignment="1" applyProtection="1">
      <alignment horizontal="center" vertical="center"/>
      <protection hidden="1"/>
    </xf>
    <xf numFmtId="0" fontId="169" fillId="0" borderId="116" xfId="0" applyFont="1" applyFill="1" applyBorder="1" applyAlignment="1" applyProtection="1">
      <alignment horizontal="right" vertical="center" wrapText="1"/>
      <protection hidden="1"/>
    </xf>
    <xf numFmtId="0" fontId="169" fillId="0" borderId="117" xfId="0" applyFont="1" applyFill="1" applyBorder="1" applyAlignment="1" applyProtection="1">
      <alignment horizontal="right" vertical="center" wrapText="1"/>
      <protection hidden="1"/>
    </xf>
    <xf numFmtId="0" fontId="185" fillId="36" borderId="118" xfId="0" applyFont="1" applyFill="1" applyBorder="1" applyAlignment="1" applyProtection="1">
      <alignment horizontal="left" vertical="top" wrapText="1"/>
      <protection hidden="1"/>
    </xf>
    <xf numFmtId="0" fontId="185" fillId="36" borderId="10" xfId="0" applyFont="1" applyFill="1" applyBorder="1" applyAlignment="1" applyProtection="1">
      <alignment horizontal="left" vertical="top" wrapText="1"/>
      <protection hidden="1"/>
    </xf>
    <xf numFmtId="0" fontId="185" fillId="36" borderId="119" xfId="0" applyFont="1" applyFill="1" applyBorder="1" applyAlignment="1" applyProtection="1">
      <alignment horizontal="left" vertical="top" wrapText="1"/>
      <protection hidden="1"/>
    </xf>
    <xf numFmtId="164" fontId="9" fillId="32" borderId="15" xfId="0" applyNumberFormat="1" applyFont="1" applyFill="1" applyBorder="1" applyAlignment="1" applyProtection="1">
      <alignment horizontal="right" vertical="center" wrapText="1"/>
      <protection hidden="1"/>
    </xf>
    <xf numFmtId="164" fontId="6" fillId="0" borderId="18" xfId="0" applyNumberFormat="1" applyFont="1" applyFill="1" applyBorder="1" applyAlignment="1" applyProtection="1">
      <alignment horizontal="right" vertical="center"/>
      <protection hidden="1"/>
    </xf>
    <xf numFmtId="0" fontId="6" fillId="7" borderId="54" xfId="0" applyNumberFormat="1" applyFont="1" applyFill="1" applyBorder="1" applyAlignment="1" applyProtection="1">
      <alignment horizontal="left" vertical="center" wrapText="1"/>
      <protection hidden="1"/>
    </xf>
    <xf numFmtId="0" fontId="6" fillId="7" borderId="89" xfId="0" applyNumberFormat="1" applyFont="1" applyFill="1" applyBorder="1" applyAlignment="1" applyProtection="1">
      <alignment horizontal="left" vertical="center"/>
      <protection hidden="1"/>
    </xf>
    <xf numFmtId="0" fontId="6" fillId="7" borderId="16" xfId="0" applyNumberFormat="1" applyFont="1" applyFill="1" applyBorder="1" applyAlignment="1" applyProtection="1">
      <alignment horizontal="left" vertical="center"/>
      <protection hidden="1"/>
    </xf>
    <xf numFmtId="0" fontId="13" fillId="0" borderId="73" xfId="0" applyFont="1" applyFill="1" applyBorder="1" applyAlignment="1" applyProtection="1">
      <alignment horizontal="left"/>
      <protection hidden="1"/>
    </xf>
    <xf numFmtId="0" fontId="13" fillId="0" borderId="90" xfId="0" applyFont="1" applyFill="1" applyBorder="1" applyAlignment="1" applyProtection="1">
      <alignment horizontal="left"/>
      <protection hidden="1"/>
    </xf>
    <xf numFmtId="0" fontId="6" fillId="0" borderId="54" xfId="0" applyFont="1" applyFill="1" applyBorder="1" applyAlignment="1" applyProtection="1">
      <alignment horizontal="left" vertical="center"/>
      <protection hidden="1"/>
    </xf>
    <xf numFmtId="0" fontId="6" fillId="0" borderId="89" xfId="0" applyFont="1" applyFill="1" applyBorder="1" applyAlignment="1" applyProtection="1">
      <alignment horizontal="left" vertical="center"/>
      <protection hidden="1"/>
    </xf>
    <xf numFmtId="0" fontId="6" fillId="0" borderId="67" xfId="0" applyFont="1" applyFill="1" applyBorder="1" applyAlignment="1" applyProtection="1">
      <alignment horizontal="left" vertical="center"/>
      <protection hidden="1"/>
    </xf>
    <xf numFmtId="0" fontId="31" fillId="87" borderId="16" xfId="0" applyFont="1" applyFill="1" applyBorder="1" applyAlignment="1" applyProtection="1">
      <alignment/>
      <protection hidden="1" locked="0"/>
    </xf>
    <xf numFmtId="164" fontId="146" fillId="32" borderId="49" xfId="0" applyNumberFormat="1" applyFont="1" applyFill="1" applyBorder="1" applyAlignment="1" applyProtection="1">
      <alignment horizontal="right" vertical="center"/>
      <protection hidden="1"/>
    </xf>
    <xf numFmtId="164" fontId="146" fillId="32" borderId="15" xfId="0" applyNumberFormat="1" applyFont="1" applyFill="1" applyBorder="1" applyAlignment="1" applyProtection="1">
      <alignment horizontal="right" vertical="center"/>
      <protection hidden="1"/>
    </xf>
    <xf numFmtId="164" fontId="146" fillId="32" borderId="17" xfId="0" applyNumberFormat="1" applyFont="1" applyFill="1" applyBorder="1" applyAlignment="1" applyProtection="1">
      <alignment horizontal="right" vertical="center"/>
      <protection hidden="1"/>
    </xf>
    <xf numFmtId="164" fontId="151" fillId="32" borderId="78" xfId="0" applyNumberFormat="1" applyFont="1" applyFill="1" applyBorder="1" applyAlignment="1" applyProtection="1">
      <alignment horizontal="center" vertical="center" textRotation="90" wrapText="1"/>
      <protection hidden="1"/>
    </xf>
    <xf numFmtId="164" fontId="151" fillId="32" borderId="50" xfId="0" applyNumberFormat="1" applyFont="1" applyFill="1" applyBorder="1" applyAlignment="1" applyProtection="1">
      <alignment horizontal="center" vertical="center" textRotation="90" wrapText="1"/>
      <protection hidden="1"/>
    </xf>
    <xf numFmtId="164" fontId="151" fillId="32" borderId="51" xfId="0" applyNumberFormat="1" applyFont="1" applyFill="1" applyBorder="1" applyAlignment="1" applyProtection="1">
      <alignment horizontal="center" vertical="center" textRotation="90" wrapText="1"/>
      <protection hidden="1"/>
    </xf>
    <xf numFmtId="0" fontId="188" fillId="0" borderId="77" xfId="0" applyFont="1" applyFill="1" applyBorder="1" applyAlignment="1" applyProtection="1">
      <alignment horizontal="center" vertical="center" wrapText="1"/>
      <protection hidden="1"/>
    </xf>
    <xf numFmtId="0" fontId="188" fillId="0" borderId="120" xfId="0" applyFont="1" applyFill="1" applyBorder="1" applyAlignment="1" applyProtection="1">
      <alignment horizontal="center" vertical="center" wrapText="1"/>
      <protection hidden="1"/>
    </xf>
    <xf numFmtId="0" fontId="189" fillId="0" borderId="42" xfId="0" applyFont="1" applyFill="1" applyBorder="1" applyAlignment="1" applyProtection="1">
      <alignment horizontal="center" vertical="center" wrapText="1"/>
      <protection hidden="1"/>
    </xf>
    <xf numFmtId="0" fontId="189" fillId="0" borderId="0" xfId="0" applyFont="1" applyFill="1" applyBorder="1" applyAlignment="1" applyProtection="1">
      <alignment horizontal="center" vertical="center" wrapText="1"/>
      <protection hidden="1"/>
    </xf>
    <xf numFmtId="0" fontId="189" fillId="0" borderId="30" xfId="0" applyFont="1" applyFill="1" applyBorder="1" applyAlignment="1" applyProtection="1">
      <alignment horizontal="center" vertical="center" wrapText="1"/>
      <protection hidden="1"/>
    </xf>
    <xf numFmtId="164" fontId="11" fillId="88" borderId="49" xfId="0" applyNumberFormat="1" applyFont="1" applyFill="1" applyBorder="1" applyAlignment="1" applyProtection="1">
      <alignment horizontal="right" vertical="center"/>
      <protection hidden="1" locked="0"/>
    </xf>
    <xf numFmtId="164" fontId="11" fillId="89" borderId="17" xfId="0" applyNumberFormat="1" applyFont="1" applyFill="1" applyBorder="1" applyAlignment="1" applyProtection="1">
      <alignment horizontal="right" vertical="center"/>
      <protection hidden="1" locked="0"/>
    </xf>
    <xf numFmtId="0" fontId="36" fillId="90" borderId="106" xfId="0" applyFont="1" applyFill="1" applyBorder="1" applyAlignment="1" applyProtection="1">
      <alignment horizontal="center" vertical="center"/>
      <protection hidden="1"/>
    </xf>
    <xf numFmtId="0" fontId="36" fillId="91" borderId="107" xfId="0" applyFont="1" applyFill="1" applyBorder="1" applyAlignment="1" applyProtection="1">
      <alignment horizontal="center" vertical="center"/>
      <protection hidden="1"/>
    </xf>
    <xf numFmtId="0" fontId="190" fillId="36" borderId="99" xfId="0" applyFont="1" applyFill="1" applyBorder="1" applyAlignment="1" applyProtection="1">
      <alignment horizontal="center" vertical="center"/>
      <protection hidden="1"/>
    </xf>
    <xf numFmtId="0" fontId="190" fillId="36" borderId="43" xfId="0" applyFont="1" applyFill="1" applyBorder="1" applyAlignment="1" applyProtection="1">
      <alignment horizontal="center" vertical="center"/>
      <protection hidden="1"/>
    </xf>
    <xf numFmtId="0" fontId="190" fillId="36" borderId="121" xfId="0" applyFont="1" applyFill="1" applyBorder="1" applyAlignment="1" applyProtection="1">
      <alignment horizontal="center" vertical="center"/>
      <protection hidden="1"/>
    </xf>
    <xf numFmtId="0" fontId="170" fillId="60" borderId="112" xfId="0" applyFont="1" applyFill="1" applyBorder="1" applyAlignment="1" applyProtection="1">
      <alignment horizontal="center" vertical="center"/>
      <protection hidden="1"/>
    </xf>
    <xf numFmtId="0" fontId="170" fillId="60" borderId="25" xfId="0" applyFont="1" applyFill="1" applyBorder="1" applyAlignment="1" applyProtection="1">
      <alignment horizontal="center" vertical="center"/>
      <protection hidden="1"/>
    </xf>
    <xf numFmtId="0" fontId="6" fillId="7" borderId="54" xfId="0" applyFont="1" applyFill="1" applyBorder="1" applyAlignment="1" applyProtection="1">
      <alignment horizontal="center" vertical="center" wrapText="1"/>
      <protection hidden="1"/>
    </xf>
    <xf numFmtId="0" fontId="6" fillId="7" borderId="89" xfId="0" applyFont="1" applyFill="1" applyBorder="1" applyAlignment="1" applyProtection="1">
      <alignment horizontal="center" vertical="center" wrapText="1"/>
      <protection hidden="1"/>
    </xf>
    <xf numFmtId="0" fontId="150" fillId="0" borderId="22" xfId="0" applyFont="1" applyBorder="1" applyAlignment="1">
      <alignment horizontal="left" vertical="center"/>
    </xf>
    <xf numFmtId="0" fontId="150" fillId="0" borderId="14" xfId="0" applyFont="1" applyBorder="1" applyAlignment="1">
      <alignment horizontal="left" vertical="center"/>
    </xf>
    <xf numFmtId="0" fontId="150" fillId="0" borderId="13" xfId="0" applyFont="1" applyBorder="1" applyAlignment="1">
      <alignment horizontal="left" vertical="center"/>
    </xf>
    <xf numFmtId="0" fontId="147" fillId="0" borderId="42" xfId="0" applyFont="1" applyBorder="1" applyAlignment="1">
      <alignment horizontal="left" vertical="top" wrapText="1"/>
    </xf>
    <xf numFmtId="0" fontId="147" fillId="0" borderId="0" xfId="0" applyFont="1" applyBorder="1" applyAlignment="1">
      <alignment horizontal="left" vertical="top" wrapText="1"/>
    </xf>
    <xf numFmtId="0" fontId="147" fillId="0" borderId="30" xfId="0" applyFont="1" applyBorder="1" applyAlignment="1">
      <alignment horizontal="left" vertical="top" wrapText="1"/>
    </xf>
    <xf numFmtId="0" fontId="147" fillId="0" borderId="33" xfId="0" applyFont="1" applyBorder="1" applyAlignment="1">
      <alignment horizontal="left" vertical="top" wrapText="1"/>
    </xf>
    <xf numFmtId="0" fontId="147" fillId="0" borderId="59" xfId="0" applyFont="1" applyBorder="1" applyAlignment="1">
      <alignment horizontal="left" vertical="top" wrapText="1"/>
    </xf>
    <xf numFmtId="0" fontId="147" fillId="0" borderId="58" xfId="0" applyFont="1" applyBorder="1" applyAlignment="1">
      <alignment horizontal="left" vertical="top" wrapText="1"/>
    </xf>
    <xf numFmtId="0" fontId="191" fillId="0" borderId="22" xfId="0" applyFont="1" applyBorder="1" applyAlignment="1" applyProtection="1">
      <alignment horizontal="center" wrapText="1"/>
      <protection hidden="1"/>
    </xf>
    <xf numFmtId="0" fontId="191" fillId="0" borderId="14" xfId="0" applyFont="1" applyBorder="1" applyAlignment="1" applyProtection="1">
      <alignment horizontal="center" wrapText="1"/>
      <protection hidden="1"/>
    </xf>
    <xf numFmtId="0" fontId="191" fillId="0" borderId="13" xfId="0" applyFont="1" applyBorder="1" applyAlignment="1" applyProtection="1">
      <alignment horizontal="center" wrapText="1"/>
      <protection hidden="1"/>
    </xf>
    <xf numFmtId="0" fontId="191" fillId="0" borderId="33" xfId="0" applyFont="1" applyBorder="1" applyAlignment="1" applyProtection="1">
      <alignment horizontal="center" wrapText="1"/>
      <protection hidden="1"/>
    </xf>
    <xf numFmtId="0" fontId="191" fillId="0" borderId="59" xfId="0" applyFont="1" applyBorder="1" applyAlignment="1" applyProtection="1">
      <alignment horizontal="center" wrapText="1"/>
      <protection hidden="1"/>
    </xf>
    <xf numFmtId="0" fontId="191" fillId="0" borderId="58" xfId="0" applyFont="1" applyBorder="1" applyAlignment="1" applyProtection="1">
      <alignment horizontal="center" wrapText="1"/>
      <protection hidden="1"/>
    </xf>
    <xf numFmtId="0" fontId="26" fillId="0" borderId="0" xfId="0" applyFont="1" applyAlignment="1" applyProtection="1">
      <alignment horizontal="left" vertical="center" wrapText="1"/>
      <protection hidden="1"/>
    </xf>
    <xf numFmtId="0" fontId="32" fillId="92" borderId="122" xfId="43" applyFont="1" applyFill="1" applyBorder="1" applyAlignment="1" applyProtection="1">
      <alignment horizontal="center" vertical="center" wrapText="1"/>
      <protection/>
    </xf>
    <xf numFmtId="0" fontId="32" fillId="93" borderId="123" xfId="43" applyFont="1" applyFill="1" applyBorder="1" applyAlignment="1" applyProtection="1">
      <alignment horizontal="center" vertical="center" wrapText="1"/>
      <protection/>
    </xf>
    <xf numFmtId="0" fontId="7" fillId="41" borderId="12" xfId="0" applyFont="1" applyFill="1" applyBorder="1" applyAlignment="1" applyProtection="1">
      <alignment horizontal="center" vertical="center" wrapText="1"/>
      <protection hidden="1"/>
    </xf>
    <xf numFmtId="0" fontId="7" fillId="41" borderId="11" xfId="0" applyFont="1" applyFill="1" applyBorder="1" applyAlignment="1" applyProtection="1">
      <alignment horizontal="center" vertical="center" wrapText="1"/>
      <protection hidden="1"/>
    </xf>
    <xf numFmtId="0" fontId="7" fillId="41" borderId="12" xfId="0" applyFont="1" applyFill="1" applyBorder="1" applyAlignment="1" applyProtection="1">
      <alignment horizontal="center" vertical="center"/>
      <protection hidden="1"/>
    </xf>
    <xf numFmtId="0" fontId="7" fillId="41" borderId="10" xfId="0" applyFont="1" applyFill="1" applyBorder="1" applyAlignment="1" applyProtection="1">
      <alignment horizontal="center" vertical="center"/>
      <protection hidden="1"/>
    </xf>
    <xf numFmtId="0" fontId="7" fillId="41" borderId="12" xfId="0" applyFont="1" applyFill="1" applyBorder="1" applyAlignment="1" applyProtection="1">
      <alignment horizontal="left" vertical="center"/>
      <protection hidden="1"/>
    </xf>
    <xf numFmtId="0" fontId="7" fillId="41" borderId="10" xfId="0" applyFont="1" applyFill="1" applyBorder="1" applyAlignment="1" applyProtection="1">
      <alignment horizontal="left" vertical="center"/>
      <protection hidden="1"/>
    </xf>
    <xf numFmtId="0" fontId="44" fillId="0" borderId="14" xfId="0" applyFont="1" applyBorder="1" applyAlignment="1">
      <alignment horizontal="center" vertical="center" wrapText="1"/>
    </xf>
    <xf numFmtId="0" fontId="192" fillId="0" borderId="14" xfId="0" applyFont="1" applyBorder="1" applyAlignment="1">
      <alignment horizontal="center" vertical="center" wrapText="1"/>
    </xf>
    <xf numFmtId="0" fontId="193" fillId="21" borderId="22" xfId="0" applyFont="1" applyFill="1" applyBorder="1" applyAlignment="1" applyProtection="1">
      <alignment horizontal="center" vertical="center" wrapText="1"/>
      <protection hidden="1"/>
    </xf>
    <xf numFmtId="0" fontId="193" fillId="21" borderId="14" xfId="0" applyFont="1" applyFill="1" applyBorder="1" applyAlignment="1" applyProtection="1">
      <alignment horizontal="center" vertical="center" wrapText="1"/>
      <protection hidden="1"/>
    </xf>
    <xf numFmtId="0" fontId="193" fillId="21" borderId="13" xfId="0" applyFont="1" applyFill="1" applyBorder="1" applyAlignment="1" applyProtection="1">
      <alignment horizontal="center" vertical="center" wrapText="1"/>
      <protection hidden="1"/>
    </xf>
    <xf numFmtId="0" fontId="193" fillId="21" borderId="42" xfId="0" applyFont="1" applyFill="1" applyBorder="1" applyAlignment="1" applyProtection="1">
      <alignment horizontal="center" vertical="center" wrapText="1"/>
      <protection hidden="1"/>
    </xf>
    <xf numFmtId="0" fontId="193" fillId="21" borderId="0" xfId="0" applyFont="1" applyFill="1" applyBorder="1" applyAlignment="1" applyProtection="1">
      <alignment horizontal="center" vertical="center" wrapText="1"/>
      <protection hidden="1"/>
    </xf>
    <xf numFmtId="0" fontId="193" fillId="21" borderId="30" xfId="0" applyFont="1" applyFill="1" applyBorder="1" applyAlignment="1" applyProtection="1">
      <alignment horizontal="center" vertical="center" wrapText="1"/>
      <protection hidden="1"/>
    </xf>
    <xf numFmtId="0" fontId="193" fillId="21" borderId="33" xfId="0" applyFont="1" applyFill="1" applyBorder="1" applyAlignment="1" applyProtection="1">
      <alignment horizontal="center" vertical="center" wrapText="1"/>
      <protection hidden="1"/>
    </xf>
    <xf numFmtId="0" fontId="193" fillId="21" borderId="59" xfId="0" applyFont="1" applyFill="1" applyBorder="1" applyAlignment="1" applyProtection="1">
      <alignment horizontal="center" vertical="center" wrapText="1"/>
      <protection hidden="1"/>
    </xf>
    <xf numFmtId="0" fontId="193" fillId="21" borderId="58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29" fillId="0" borderId="57" xfId="0" applyFont="1" applyBorder="1" applyAlignment="1" applyProtection="1">
      <alignment wrapText="1"/>
      <protection hidden="1"/>
    </xf>
    <xf numFmtId="0" fontId="2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7" fillId="4" borderId="1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6">
    <dxf>
      <font>
        <b/>
        <i val="0"/>
      </font>
      <fill>
        <patternFill patternType="solid">
          <bgColor indexed="18"/>
        </patternFill>
      </fill>
    </dxf>
    <dxf/>
    <dxf/>
    <dxf>
      <font>
        <b/>
        <i val="0"/>
      </font>
      <fill>
        <patternFill patternType="none">
          <bgColor indexed="65"/>
        </patternFill>
      </fill>
    </dxf>
    <dxf>
      <font>
        <b/>
        <i/>
        <color indexed="53"/>
      </font>
    </dxf>
    <dxf>
      <font>
        <b/>
        <i/>
        <color indexed="53"/>
      </font>
    </dxf>
    <dxf/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/>
    <dxf>
      <font>
        <b/>
        <i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4</xdr:row>
      <xdr:rowOff>228600</xdr:rowOff>
    </xdr:from>
    <xdr:to>
      <xdr:col>6</xdr:col>
      <xdr:colOff>847725</xdr:colOff>
      <xdr:row>4</xdr:row>
      <xdr:rowOff>485775</xdr:rowOff>
    </xdr:to>
    <xdr:sp>
      <xdr:nvSpPr>
        <xdr:cNvPr id="1" name="Lefelé nyíl 1"/>
        <xdr:cNvSpPr>
          <a:spLocks/>
        </xdr:cNvSpPr>
      </xdr:nvSpPr>
      <xdr:spPr>
        <a:xfrm>
          <a:off x="6772275" y="1419225"/>
          <a:ext cx="171450" cy="257175"/>
        </a:xfrm>
        <a:prstGeom prst="downArrow">
          <a:avLst>
            <a:gd name="adj" fmla="val 16666"/>
          </a:avLst>
        </a:prstGeom>
        <a:pattFill prst="pct20">
          <a:fgClr>
            <a:srgbClr val="BFBFBF"/>
          </a:fgClr>
          <a:bgClr>
            <a:srgbClr val="FFFFFF"/>
          </a:bgClr>
        </a:patt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W150"/>
  <sheetViews>
    <sheetView showGridLines="0" tabSelected="1" showOutlineSymbols="0" zoomScale="70" zoomScaleNormal="70" zoomScaleSheetLayoutView="70" zoomScalePageLayoutView="0" workbookViewId="0" topLeftCell="B1">
      <pane ySplit="7" topLeftCell="A20" activePane="bottomLeft" state="frozen"/>
      <selection pane="topLeft" activeCell="B1" sqref="B1"/>
      <selection pane="bottomLeft" activeCell="D2" sqref="D2:H3"/>
    </sheetView>
  </sheetViews>
  <sheetFormatPr defaultColWidth="9.140625" defaultRowHeight="18.75" customHeight="1"/>
  <cols>
    <col min="1" max="1" width="8.00390625" style="6" hidden="1" customWidth="1"/>
    <col min="2" max="2" width="4.140625" style="5" customWidth="1"/>
    <col min="3" max="3" width="26.8515625" style="6" customWidth="1"/>
    <col min="4" max="4" width="24.421875" style="6" customWidth="1"/>
    <col min="5" max="5" width="21.7109375" style="6" customWidth="1"/>
    <col min="6" max="6" width="14.28125" style="6" customWidth="1"/>
    <col min="7" max="7" width="16.28125" style="10" customWidth="1"/>
    <col min="8" max="8" width="17.8515625" style="14" customWidth="1"/>
    <col min="9" max="9" width="14.28125" style="11" customWidth="1"/>
    <col min="10" max="10" width="5.28125" style="11" hidden="1" customWidth="1"/>
    <col min="11" max="11" width="19.7109375" style="12" customWidth="1"/>
    <col min="12" max="12" width="0.42578125" style="12" customWidth="1"/>
    <col min="13" max="13" width="20.140625" style="14" customWidth="1"/>
    <col min="14" max="14" width="8.421875" style="14" customWidth="1"/>
    <col min="15" max="15" width="36.8515625" style="6" customWidth="1"/>
    <col min="16" max="16" width="13.00390625" style="6" customWidth="1"/>
    <col min="17" max="17" width="14.140625" style="6" customWidth="1"/>
    <col min="18" max="18" width="12.140625" style="6" customWidth="1"/>
    <col min="19" max="19" width="22.00390625" style="6" customWidth="1"/>
    <col min="20" max="20" width="16.57421875" style="6" customWidth="1"/>
    <col min="21" max="22" width="10.28125" style="6" bestFit="1" customWidth="1"/>
    <col min="23" max="23" width="20.28125" style="6" hidden="1" customWidth="1"/>
    <col min="24" max="16384" width="9.140625" style="6" customWidth="1"/>
  </cols>
  <sheetData>
    <row r="1" spans="1:23" ht="24" thickBot="1">
      <c r="A1" s="385" t="s">
        <v>189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38"/>
      <c r="O1" s="104"/>
      <c r="Q1" s="370" t="s">
        <v>205</v>
      </c>
      <c r="R1" s="370"/>
      <c r="S1" s="370"/>
      <c r="T1" s="10"/>
      <c r="U1" s="179"/>
      <c r="V1" s="179"/>
      <c r="W1" s="10"/>
    </row>
    <row r="2" spans="2:20" ht="21" customHeight="1" thickBot="1">
      <c r="B2" s="502" t="s">
        <v>52</v>
      </c>
      <c r="C2" s="503"/>
      <c r="D2" s="492"/>
      <c r="E2" s="492"/>
      <c r="F2" s="492"/>
      <c r="G2" s="492"/>
      <c r="H2" s="493"/>
      <c r="I2" s="502" t="s">
        <v>54</v>
      </c>
      <c r="J2" s="503"/>
      <c r="K2" s="503"/>
      <c r="L2" s="69"/>
      <c r="M2" s="498" t="s">
        <v>88</v>
      </c>
      <c r="N2" s="499"/>
      <c r="O2" s="214">
        <f>IF(AND(F5=8,G6=365),R52,R52/365/8*F5*G6)</f>
        <v>271400</v>
      </c>
      <c r="P2" s="183"/>
      <c r="Q2" s="224">
        <f>O2/Q3</f>
        <v>192878.97093312486</v>
      </c>
      <c r="R2" s="224">
        <f>O2/R3</f>
        <v>201784.3866171004</v>
      </c>
      <c r="S2" s="332" t="s">
        <v>257</v>
      </c>
      <c r="T2" s="224">
        <f>O2/T3</f>
        <v>224297.52066115703</v>
      </c>
    </row>
    <row r="3" spans="2:20" ht="26.25" customHeight="1" thickBot="1">
      <c r="B3" s="105"/>
      <c r="C3" s="306"/>
      <c r="D3" s="494"/>
      <c r="E3" s="494"/>
      <c r="F3" s="494"/>
      <c r="G3" s="494"/>
      <c r="H3" s="495"/>
      <c r="I3" s="500"/>
      <c r="J3" s="501"/>
      <c r="K3" s="501"/>
      <c r="L3" s="82"/>
      <c r="M3" s="496" t="s">
        <v>87</v>
      </c>
      <c r="N3" s="497"/>
      <c r="O3" s="216">
        <f>ROUND(+K31,0)</f>
        <v>0</v>
      </c>
      <c r="P3" s="184"/>
      <c r="Q3" s="327">
        <v>1.4071</v>
      </c>
      <c r="R3" s="328">
        <v>1.345</v>
      </c>
      <c r="S3" s="326" t="s">
        <v>45</v>
      </c>
      <c r="T3" s="329">
        <v>1.21</v>
      </c>
    </row>
    <row r="4" spans="2:20" ht="22.5" customHeight="1" thickBot="1">
      <c r="B4" s="106"/>
      <c r="C4" s="388"/>
      <c r="D4" s="388"/>
      <c r="E4" s="388"/>
      <c r="F4" s="388"/>
      <c r="G4" s="388"/>
      <c r="H4" s="388"/>
      <c r="I4" s="388"/>
      <c r="J4" s="388"/>
      <c r="K4" s="388"/>
      <c r="L4" s="82"/>
      <c r="M4" s="581" t="s">
        <v>89</v>
      </c>
      <c r="N4" s="582"/>
      <c r="O4" s="215">
        <f>ROUND(+O2-O3,0)</f>
        <v>271400</v>
      </c>
      <c r="P4" s="185"/>
      <c r="Q4" s="330">
        <f>$O$4/Q3</f>
        <v>192878.97093312486</v>
      </c>
      <c r="R4" s="330">
        <f>O4/R3</f>
        <v>201784.3866171004</v>
      </c>
      <c r="S4" s="333" t="s">
        <v>258</v>
      </c>
      <c r="T4" s="330">
        <f>O4/T3</f>
        <v>224297.52066115703</v>
      </c>
    </row>
    <row r="5" spans="2:23" ht="39.75" customHeight="1" thickBot="1">
      <c r="B5" s="444" t="s">
        <v>93</v>
      </c>
      <c r="C5" s="445"/>
      <c r="D5" s="446"/>
      <c r="E5" s="282" t="s">
        <v>191</v>
      </c>
      <c r="F5" s="344">
        <v>8</v>
      </c>
      <c r="G5" s="308" t="s">
        <v>190</v>
      </c>
      <c r="H5" s="307" t="s">
        <v>155</v>
      </c>
      <c r="I5" s="509" t="s">
        <v>53</v>
      </c>
      <c r="J5" s="510"/>
      <c r="K5" s="511"/>
      <c r="L5" s="7"/>
      <c r="M5" s="574" t="str">
        <f>IF(O4&lt;0,"T ú l l é p t e   a   k e r e t e t !",IF(O4=0,"ÖN AZ EGÉSZ KERETET FELHASZNÁLTA !","Kérjük, az egész keretet használja fel!"))</f>
        <v>Kérjük, az egész keretet használja fel!</v>
      </c>
      <c r="N5" s="575"/>
      <c r="O5" s="575"/>
      <c r="P5" s="575"/>
      <c r="Q5" s="225"/>
      <c r="R5" s="226"/>
      <c r="S5" s="226"/>
      <c r="T5" s="181"/>
      <c r="U5" s="180"/>
      <c r="V5" s="180"/>
      <c r="W5" s="10"/>
    </row>
    <row r="6" spans="2:23" ht="67.5" customHeight="1" thickBot="1" thickTop="1">
      <c r="B6" s="447" t="s">
        <v>228</v>
      </c>
      <c r="C6" s="448"/>
      <c r="D6" s="448"/>
      <c r="E6" s="309" t="s">
        <v>241</v>
      </c>
      <c r="F6" s="283">
        <f>IF(G6=365,450000,450000/365*G6)</f>
        <v>450000</v>
      </c>
      <c r="G6" s="345">
        <v>365</v>
      </c>
      <c r="H6" s="341"/>
      <c r="I6" s="474"/>
      <c r="J6" s="475"/>
      <c r="K6" s="476"/>
      <c r="L6" s="7"/>
      <c r="M6" s="576" t="str">
        <f>IF(AND(D2&lt;&gt;"",I3&gt;0,D32&gt;0,O4=0,C31="",P16="",R16="",R17="",R18=""),"A KITÖLTÉS MEGFELELŐ, NYOMTATHATÓ A NYILATKOZAT !","HA A TELJES KERETÉT MÁR FELHASZNÁLTA, akkor a személyes adatokra, keltezésre vonatkozó részt is szíveskedjék kitölteni, a figyelmeztetéseknél  javítani!")</f>
        <v>HA A TELJES KERETÉT MÁR FELHASZNÁLTA, akkor a személyes adatokra, keltezésre vonatkozó részt is szíveskedjék kitölteni, a figyelmeztetéseknél  javítani!</v>
      </c>
      <c r="N6" s="577"/>
      <c r="O6" s="577"/>
      <c r="P6" s="578"/>
      <c r="T6" s="181"/>
      <c r="U6" s="180"/>
      <c r="V6" s="180"/>
      <c r="W6" s="179"/>
    </row>
    <row r="7" spans="2:23" s="8" customFormat="1" ht="49.5" customHeight="1">
      <c r="B7" s="462" t="s">
        <v>47</v>
      </c>
      <c r="C7" s="463"/>
      <c r="D7" s="463"/>
      <c r="E7" s="421"/>
      <c r="F7" s="442" t="s">
        <v>92</v>
      </c>
      <c r="G7" s="443"/>
      <c r="H7" s="319" t="s">
        <v>249</v>
      </c>
      <c r="I7" s="285" t="s">
        <v>45</v>
      </c>
      <c r="J7" s="285"/>
      <c r="K7" s="284" t="s">
        <v>90</v>
      </c>
      <c r="L7" s="255"/>
      <c r="M7" s="331" t="s">
        <v>248</v>
      </c>
      <c r="N7" s="583" t="s">
        <v>86</v>
      </c>
      <c r="O7" s="584"/>
      <c r="P7" s="585"/>
      <c r="R7" s="170"/>
      <c r="T7" s="182"/>
      <c r="U7" s="180"/>
      <c r="V7" s="25"/>
      <c r="W7" s="25"/>
    </row>
    <row r="8" spans="1:16" s="8" customFormat="1" ht="22.5" customHeight="1" thickBot="1">
      <c r="A8" s="97" t="s">
        <v>124</v>
      </c>
      <c r="B8" s="586"/>
      <c r="C8" s="587"/>
      <c r="D8" s="304"/>
      <c r="E8" s="305"/>
      <c r="F8" s="71" t="s">
        <v>168</v>
      </c>
      <c r="G8" s="71" t="s">
        <v>169</v>
      </c>
      <c r="H8" s="72"/>
      <c r="I8" s="73"/>
      <c r="J8" s="73"/>
      <c r="K8" s="74"/>
      <c r="L8" s="74"/>
      <c r="M8" s="75"/>
      <c r="N8" s="75"/>
      <c r="O8" s="83"/>
      <c r="P8" s="84"/>
    </row>
    <row r="9" spans="1:16" s="9" customFormat="1" ht="32.25" customHeight="1" thickBot="1" thickTop="1">
      <c r="A9" s="95"/>
      <c r="B9" s="94" t="s">
        <v>1</v>
      </c>
      <c r="C9" s="449" t="s">
        <v>166</v>
      </c>
      <c r="D9" s="450"/>
      <c r="E9" s="451"/>
      <c r="F9" s="154">
        <v>0</v>
      </c>
      <c r="G9" s="162">
        <f>+$O$2</f>
        <v>271400</v>
      </c>
      <c r="H9" s="163">
        <v>0</v>
      </c>
      <c r="I9" s="50">
        <v>1</v>
      </c>
      <c r="J9" s="33"/>
      <c r="K9" s="323">
        <f>IF(H9=0,H9,IF(AND(H9&lt;=$O$2),(H9*I9),"A beírt összeg rossz!"))</f>
        <v>0</v>
      </c>
      <c r="L9" s="34"/>
      <c r="M9" s="207">
        <f>IF(AND(G9&gt;0,$O$4&gt;0),IF($O$4&lt;G9,IF(G9-K9&lt;=$O$4,G9-K9,$O$4),G9-K9),0)</f>
        <v>271400</v>
      </c>
      <c r="N9" s="295"/>
      <c r="O9" s="356">
        <f>IF(K9="A beírt összeg rossz!","A program nem veszi figyelembe.","")</f>
      </c>
      <c r="P9" s="357"/>
    </row>
    <row r="10" spans="1:16" s="9" customFormat="1" ht="33.75" customHeight="1" thickBot="1" thickTop="1">
      <c r="A10" s="95"/>
      <c r="B10" s="76" t="s">
        <v>2</v>
      </c>
      <c r="C10" s="449" t="s">
        <v>152</v>
      </c>
      <c r="D10" s="450"/>
      <c r="E10" s="451"/>
      <c r="F10" s="154">
        <v>0</v>
      </c>
      <c r="G10" s="162">
        <f>IF($O$2/I10&gt;149000,149000,$O$2)</f>
        <v>149000</v>
      </c>
      <c r="H10" s="163">
        <v>0</v>
      </c>
      <c r="I10" s="50">
        <v>1</v>
      </c>
      <c r="J10" s="33"/>
      <c r="K10" s="324">
        <f>IF(AND(H10&gt;=0,H10&lt;=G10),ROUND((H10*I10),0),"A beírt összeg rossz!")</f>
        <v>0</v>
      </c>
      <c r="L10" s="34"/>
      <c r="M10" s="207">
        <f>IF(AND(G10&gt;0,$O$4&gt;0),IF($O$4&lt;G10,IF(G10-K10&lt;=$O$4,G10-K10,$O$4),G10-K10),0)</f>
        <v>149000</v>
      </c>
      <c r="N10" s="296"/>
      <c r="O10" s="356">
        <f>IF(K10="A beírt összeg rossz!","A program nem veszi figyelembe.","")</f>
      </c>
      <c r="P10" s="357"/>
    </row>
    <row r="11" spans="1:23" s="9" customFormat="1" ht="30.75" customHeight="1" thickBot="1" thickTop="1">
      <c r="A11" s="95"/>
      <c r="B11" s="94" t="s">
        <v>3</v>
      </c>
      <c r="C11" s="449" t="s">
        <v>153</v>
      </c>
      <c r="D11" s="450"/>
      <c r="E11" s="464"/>
      <c r="F11" s="154">
        <v>0</v>
      </c>
      <c r="G11" s="162">
        <f>IF($O$2/I11&gt;149000,149000,$O$2)</f>
        <v>149000</v>
      </c>
      <c r="H11" s="163">
        <v>0</v>
      </c>
      <c r="I11" s="50">
        <v>1</v>
      </c>
      <c r="J11" s="33"/>
      <c r="K11" s="324">
        <f>IF(AND(H11&gt;=0,H11&lt;=G11),ROUND((H11*I11),0),"A beírt összeg rossz!")</f>
        <v>0</v>
      </c>
      <c r="L11" s="34"/>
      <c r="M11" s="207">
        <f>IF(AND(G11&gt;0,$O$4&gt;0),IF($O$4&lt;G11,IF(G11-K11&lt;=$O$4,G11-K11,$O$4),G11-K11),0)</f>
        <v>149000</v>
      </c>
      <c r="N11" s="296"/>
      <c r="O11" s="356">
        <f>IF(K11="A beírt összeg rossz!","A program nem veszi figyelembe.","")</f>
      </c>
      <c r="P11" s="357"/>
      <c r="Q11" s="477" t="s">
        <v>205</v>
      </c>
      <c r="R11" s="478"/>
      <c r="S11" s="478"/>
      <c r="T11" s="478"/>
      <c r="W11" s="9" t="s">
        <v>245</v>
      </c>
    </row>
    <row r="12" spans="1:23" s="9" customFormat="1" ht="31.5" customHeight="1" thickBot="1" thickTop="1">
      <c r="A12" s="95"/>
      <c r="B12" s="77" t="s">
        <v>4</v>
      </c>
      <c r="C12" s="210" t="s">
        <v>179</v>
      </c>
      <c r="D12" s="289" t="s">
        <v>196</v>
      </c>
      <c r="E12" s="321">
        <v>0</v>
      </c>
      <c r="F12" s="505">
        <v>0</v>
      </c>
      <c r="G12" s="507">
        <f>IF(AND($O$2/I12&lt;450000,$O$2/I12&gt;225000-E12,),225000-E12,IF(225000&lt;$O$2/I12,225000-E12,IF($O$2/I12&gt;225000-E12,225000-E12,$O$2/I12)))</f>
        <v>201784.3866171004</v>
      </c>
      <c r="H12" s="579">
        <v>0</v>
      </c>
      <c r="I12" s="479">
        <v>1.345</v>
      </c>
      <c r="J12" s="52"/>
      <c r="K12" s="512">
        <f>IF(AND(H12&gt;=0,H12&lt;=G12),ROUND((H12*I12),0),"A beírt összeg rossz!")</f>
        <v>0</v>
      </c>
      <c r="L12" s="22"/>
      <c r="M12" s="470">
        <f>IF($O$4&gt;0,IF($O$4/I12&lt;225000-E12,IF(225000-E12-H12&lt;=$O$4/I12,225000-E12-H12,IF($O$4/I12&gt;0,ROUND(($O$4/I12),0),0)),225000-E12-H12),0)</f>
        <v>201784</v>
      </c>
      <c r="N12" s="297"/>
      <c r="O12" s="550">
        <f>IF(K12="A beírt összeg rossz!","A program nem veszi figyelembe.","")</f>
      </c>
      <c r="P12" s="551"/>
      <c r="Q12" s="386">
        <f>SUM(H12:H15)</f>
        <v>0</v>
      </c>
      <c r="R12" s="358" t="s">
        <v>243</v>
      </c>
      <c r="S12" s="359"/>
      <c r="T12" s="481" t="s">
        <v>178</v>
      </c>
      <c r="U12" s="481"/>
      <c r="V12" s="482"/>
      <c r="W12" s="311">
        <v>1</v>
      </c>
    </row>
    <row r="13" spans="1:22" s="9" customFormat="1" ht="16.5" customHeight="1" thickBot="1" thickTop="1">
      <c r="A13" s="95"/>
      <c r="B13" s="77"/>
      <c r="C13" s="278" t="s">
        <v>232</v>
      </c>
      <c r="D13" s="310" t="s">
        <v>233</v>
      </c>
      <c r="E13" s="312"/>
      <c r="F13" s="506"/>
      <c r="G13" s="508"/>
      <c r="H13" s="580"/>
      <c r="I13" s="480"/>
      <c r="J13" s="52"/>
      <c r="K13" s="513"/>
      <c r="L13" s="34"/>
      <c r="M13" s="472"/>
      <c r="N13" s="298"/>
      <c r="O13" s="356"/>
      <c r="P13" s="357"/>
      <c r="Q13" s="387"/>
      <c r="R13" s="360"/>
      <c r="S13" s="361"/>
      <c r="T13" s="483"/>
      <c r="U13" s="483"/>
      <c r="V13" s="484"/>
    </row>
    <row r="14" spans="1:22" ht="31.5" customHeight="1" thickBot="1" thickTop="1">
      <c r="A14" s="96"/>
      <c r="B14" s="77" t="s">
        <v>11</v>
      </c>
      <c r="C14" s="210" t="s">
        <v>180</v>
      </c>
      <c r="D14" s="290" t="s">
        <v>244</v>
      </c>
      <c r="E14" s="322">
        <v>92900</v>
      </c>
      <c r="F14" s="154">
        <v>0</v>
      </c>
      <c r="G14" s="211">
        <f>IF(AND($O$2/I14&lt;450000,$O$2/I14&gt;150000-E14,),150000-E14,IF(150000&lt;$O$2/I14,150000-E14,IF(150000&gt;$O$2/I14,150000-E14,(ROUND($O$2/I14,0)))))</f>
        <v>57100</v>
      </c>
      <c r="H14" s="206">
        <v>0</v>
      </c>
      <c r="I14" s="212">
        <v>1.345</v>
      </c>
      <c r="J14" s="52"/>
      <c r="K14" s="324">
        <f>IF(AND(H14&gt;=0,H14&lt;=G14),ROUND((H14*I14),0),"A beírt összeg rossz!")</f>
        <v>0</v>
      </c>
      <c r="L14" s="23"/>
      <c r="M14" s="207">
        <f>IF($O$4&gt;0,IF($O$4/I14&lt;150000-E14,IF(150000-E14-H14&lt;=$O$4/I14,150000-E14-H14,IF($O$4/I14&gt;0,ROUND(($O$4/I14),0),0)),150000-E14-H14),0)</f>
        <v>57100</v>
      </c>
      <c r="N14" s="298"/>
      <c r="O14" s="487">
        <f>IF(K14="A beírt összeg rossz!","A program nem veszi figyelembe.","")</f>
      </c>
      <c r="P14" s="488"/>
      <c r="Q14" s="254">
        <f>SUM(E12:E15)</f>
        <v>92900</v>
      </c>
      <c r="R14" s="489" t="s">
        <v>203</v>
      </c>
      <c r="S14" s="490"/>
      <c r="T14" s="483"/>
      <c r="U14" s="483"/>
      <c r="V14" s="484"/>
    </row>
    <row r="15" spans="1:22" ht="30" customHeight="1" thickBot="1" thickTop="1">
      <c r="A15" s="96">
        <v>10</v>
      </c>
      <c r="B15" s="77" t="s">
        <v>5</v>
      </c>
      <c r="C15" s="210" t="s">
        <v>181</v>
      </c>
      <c r="D15" s="289" t="s">
        <v>195</v>
      </c>
      <c r="E15" s="322">
        <v>0</v>
      </c>
      <c r="F15" s="154">
        <v>0</v>
      </c>
      <c r="G15" s="211">
        <f>IF(AND($O$2/I15&lt;450000,$O$2/I15&gt;75000-E15,),75000-E15,IF(75000&lt;$O$2/I15,75000-E15,IF($O$2/I15&gt;75000-E15,75000-E15,$O$2/I15)))</f>
        <v>75000</v>
      </c>
      <c r="H15" s="206">
        <v>0</v>
      </c>
      <c r="I15" s="212">
        <v>1.345</v>
      </c>
      <c r="J15" s="52"/>
      <c r="K15" s="324">
        <f>IF(AND(H15&gt;=0,H15&lt;=G15),ROUND((H15*I15),0),"A beírt összeg rossz!")</f>
        <v>0</v>
      </c>
      <c r="L15" s="23"/>
      <c r="M15" s="207">
        <f>IF($O$4&gt;0,IF($O$4/I15&lt;75000-E15,IF(75000-E15-H15&lt;=$O$4/I15,75000-E15-H15,IF($O$4/I15&gt;0,ROUND(($O$4/I15),0),0)),75000-E15-H15),0)</f>
        <v>75000</v>
      </c>
      <c r="N15" s="298"/>
      <c r="O15" s="487">
        <f>IF(K15="A beírt összeg rossz!","A program nem veszi figyelembe.","")</f>
      </c>
      <c r="P15" s="488"/>
      <c r="Q15" s="254">
        <f>SUM(Q12:Q14)</f>
        <v>92900</v>
      </c>
      <c r="R15" s="491" t="s">
        <v>204</v>
      </c>
      <c r="S15" s="491"/>
      <c r="T15" s="485"/>
      <c r="U15" s="485"/>
      <c r="V15" s="486"/>
    </row>
    <row r="16" spans="1:20" ht="57.75" customHeight="1" thickBot="1" thickTop="1">
      <c r="A16" s="96"/>
      <c r="B16" s="77" t="s">
        <v>6</v>
      </c>
      <c r="C16" s="588" t="s">
        <v>200</v>
      </c>
      <c r="D16" s="589"/>
      <c r="E16" s="277"/>
      <c r="F16" s="274">
        <v>0</v>
      </c>
      <c r="G16" s="223">
        <f>IF(AND(Q16=225000,$O$2/I16&gt;0),(ROUND($O$2/I16,0)),0)</f>
        <v>0</v>
      </c>
      <c r="H16" s="138">
        <v>0</v>
      </c>
      <c r="I16" s="209">
        <v>1.4071</v>
      </c>
      <c r="J16" s="52"/>
      <c r="K16" s="325">
        <f>IF(OR(H16=0,AND(H12+E12=225000,H16&gt;0,H16&lt;=G16)),ROUNDDOWN((H16*I16),0),"A beírt összeg rossz!")</f>
        <v>0</v>
      </c>
      <c r="L16" s="23"/>
      <c r="M16" s="169">
        <f>IF($O$4&gt;0,IF($O$4/I16&lt;G16,IF(G16-H16&lt;=$O$4/I16,G16-H16,IF($O$4/I16&gt;0,ROUND(($O$4/I16),0),0)),G16-H16),0)</f>
        <v>0</v>
      </c>
      <c r="N16" s="504">
        <f>IF(K16="A beírt összeg rossz vagy nem használta ki a kedvező adózású lehetőséget a 4.sz. elemnél!","A program nem veszi figyelembe.","")</f>
      </c>
      <c r="O16" s="487"/>
      <c r="P16" s="276">
        <f>IF(AND(H16&gt;0,E16=""),"A kifizetés hónapját is jelölje meg (E16mező)!","")</f>
      </c>
      <c r="Q16" s="254">
        <f>+H12+E12</f>
        <v>0</v>
      </c>
      <c r="R16" s="465">
        <f>IF(AND(Q16&lt;225000,H16&gt;0),"Nem használta fel a SZÉP Kártya kedvezményes adózású SZÁLLÁS keretét! A még kedvezményes adózású összeg: » »","")</f>
      </c>
      <c r="S16" s="465"/>
      <c r="T16" s="208">
        <f>IF(R16="","",(+M12))</f>
      </c>
    </row>
    <row r="17" spans="1:20" ht="69" customHeight="1" thickBot="1" thickTop="1">
      <c r="A17" s="96"/>
      <c r="B17" s="77" t="s">
        <v>7</v>
      </c>
      <c r="C17" s="559" t="s">
        <v>201</v>
      </c>
      <c r="D17" s="560"/>
      <c r="E17" s="561">
        <v>2</v>
      </c>
      <c r="F17" s="154">
        <v>0</v>
      </c>
      <c r="G17" s="223">
        <f>IF(AND(Q17=150000,$O$2/I17&gt;0),(ROUND($O$2/I17,0)),0)</f>
        <v>0</v>
      </c>
      <c r="H17" s="138">
        <v>0</v>
      </c>
      <c r="I17" s="209">
        <v>1.4071</v>
      </c>
      <c r="J17" s="52"/>
      <c r="K17" s="325">
        <f>IF(OR(H17=0,$Q$15=450000,AND(H14+E14=150000,H17&gt;0,H17&lt;=G17)),ROUNDDOWN((H17*I17),0),"A beírt összeg rossz!")</f>
        <v>0</v>
      </c>
      <c r="L17" s="23"/>
      <c r="M17" s="169">
        <f>IF($O$4&gt;0,IF($O$4/I17&lt;G17,IF(G17-H17&lt;=$O$4/I17,G17-H17,IF($O$4/I17&gt;0,ROUND(($O$4/I17),0),0)),G17-H17),0)</f>
        <v>0</v>
      </c>
      <c r="N17" s="504">
        <f>IF(K17="A beírt összeg rossz!","A program nem veszi figyelembe.","")</f>
      </c>
      <c r="O17" s="487"/>
      <c r="P17" s="488"/>
      <c r="Q17" s="254">
        <f>+H14+E14</f>
        <v>92900</v>
      </c>
      <c r="R17" s="465">
        <f>IF(AND(Q17&lt;150000,H17&gt;0),"Nem használta fel a SZÉP Kártya kedvezményes adózású  VENDÉGLÁTÁS keretét! A még kedvezményes adózású összeg: »","")</f>
      </c>
      <c r="S17" s="465"/>
      <c r="T17" s="208">
        <f>IF(R17="","",(+M14))</f>
      </c>
    </row>
    <row r="18" spans="1:20" s="9" customFormat="1" ht="71.25" customHeight="1" thickBot="1" thickTop="1">
      <c r="A18" s="95">
        <v>11</v>
      </c>
      <c r="B18" s="77" t="s">
        <v>8</v>
      </c>
      <c r="C18" s="459" t="s">
        <v>202</v>
      </c>
      <c r="D18" s="460"/>
      <c r="E18" s="461"/>
      <c r="F18" s="154">
        <v>0</v>
      </c>
      <c r="G18" s="223">
        <f>IF(AND(Q18=75000,$O$2/I18&gt;0),(ROUND($O$2/I18,0)),0)</f>
        <v>0</v>
      </c>
      <c r="H18" s="138">
        <v>0</v>
      </c>
      <c r="I18" s="209">
        <v>1.4071</v>
      </c>
      <c r="J18" s="52"/>
      <c r="K18" s="325">
        <f>IF(OR(H18=0,AND(H15+E15=75000,H18&gt;0,H18&lt;=G18)),ROUNDDOWN((H18*I18),0),"A beírt összeg rossz!")</f>
        <v>0</v>
      </c>
      <c r="L18" s="23"/>
      <c r="M18" s="169">
        <f>IF($O$4&gt;0,IF($O$4/I18&lt;G18,IF(G18-H18&lt;=$O$4/I18,G18-H18,IF($O$4/I18&gt;0,ROUND(($O$4/I18),0),0)),G18-H18),0)</f>
        <v>0</v>
      </c>
      <c r="N18" s="504">
        <f>IF(K18="A beírt összeg rossz!","A program nem veszi figyelembe.","")</f>
      </c>
      <c r="O18" s="487"/>
      <c r="P18" s="488"/>
      <c r="Q18" s="254">
        <f>+H15+E15</f>
        <v>0</v>
      </c>
      <c r="R18" s="465">
        <f>IF(AND(Q18&lt;75000,H18&gt;0),"Nem használta fel a SZÉP Kártya kedvezményes adózású SZABADIDŐS keretét! A még kedvezményes adózású összeg: »","")</f>
      </c>
      <c r="S18" s="465"/>
      <c r="T18" s="208">
        <f>IF(R18="","",(+M15))</f>
      </c>
    </row>
    <row r="19" spans="1:20" s="9" customFormat="1" ht="16.5" customHeight="1" thickBot="1" thickTop="1">
      <c r="A19" s="95" t="s">
        <v>4</v>
      </c>
      <c r="B19" s="349" t="s">
        <v>9</v>
      </c>
      <c r="C19" s="378" t="s">
        <v>141</v>
      </c>
      <c r="D19" s="379"/>
      <c r="E19" s="380"/>
      <c r="F19" s="558">
        <v>0</v>
      </c>
      <c r="G19" s="568">
        <f>ROUND($O$2/I19,0)</f>
        <v>224298</v>
      </c>
      <c r="H19" s="549">
        <v>0</v>
      </c>
      <c r="I19" s="548">
        <f>IF($H$3="Nyugdíjas",1,1.21)</f>
        <v>1.21</v>
      </c>
      <c r="J19" s="51"/>
      <c r="K19" s="512">
        <f>IF(AND(H19&gt;=0,H19&lt;=G19),ROUNDDOWN((H19*I19),0),"A beírt összeg rossz!")</f>
        <v>0</v>
      </c>
      <c r="L19" s="22"/>
      <c r="M19" s="470">
        <f>IF($O$4&gt;0,IF($O$4/I19&lt;G19,IF(G19-H19&lt;=$O$4/I19,G19-H19,IF($O$4/I19&gt;0,ROUND(($O$4/I19),0),0)),G19-H19),0)</f>
        <v>224298</v>
      </c>
      <c r="N19" s="562">
        <f>IF(K19="A beírt összeg rossz!","A program nem veszi figyelembe.","")</f>
      </c>
      <c r="O19" s="563"/>
      <c r="P19" s="299"/>
      <c r="R19" s="6"/>
      <c r="S19" s="6"/>
      <c r="T19" s="6"/>
    </row>
    <row r="20" spans="1:20" s="9" customFormat="1" ht="25.5" customHeight="1" thickBot="1" thickTop="1">
      <c r="A20" s="95"/>
      <c r="B20" s="349"/>
      <c r="C20" s="381"/>
      <c r="D20" s="382"/>
      <c r="E20" s="383"/>
      <c r="F20" s="558"/>
      <c r="G20" s="569"/>
      <c r="H20" s="549"/>
      <c r="I20" s="548"/>
      <c r="J20" s="51"/>
      <c r="K20" s="557"/>
      <c r="L20" s="34"/>
      <c r="M20" s="471"/>
      <c r="N20" s="552">
        <f>IF(P20="","","Adó és járulék terhek levonása után a  kifizetendő  várható összege:»»»")</f>
      </c>
      <c r="O20" s="553"/>
      <c r="P20" s="187">
        <f>IF((AND(H19&gt;0,I19=1.21)),H19*0.665,IF(AND(H19&gt;0,I19=1),H19*0.85,""))</f>
      </c>
      <c r="Q20" s="186">
        <f>IF(H19&gt;0,"«Tájékoztató és nem tény adat!","")</f>
      </c>
      <c r="R20" s="6"/>
      <c r="S20" s="6"/>
      <c r="T20" s="6"/>
    </row>
    <row r="21" spans="1:17" ht="22.5" customHeight="1" thickBot="1" thickTop="1">
      <c r="A21" s="96"/>
      <c r="B21" s="349"/>
      <c r="C21" s="99" t="s">
        <v>126</v>
      </c>
      <c r="D21" s="389"/>
      <c r="E21" s="567"/>
      <c r="F21" s="558"/>
      <c r="G21" s="570"/>
      <c r="H21" s="549"/>
      <c r="I21" s="548"/>
      <c r="J21" s="52"/>
      <c r="K21" s="513"/>
      <c r="L21" s="34"/>
      <c r="M21" s="472"/>
      <c r="N21" s="353">
        <f>IF(H19&lt;&gt;0,IF(LEN(D21)=0,"Kérem válasszon pénztárat",""),"")</f>
      </c>
      <c r="O21" s="354"/>
      <c r="P21" s="355"/>
      <c r="Q21" s="9"/>
    </row>
    <row r="22" spans="1:16" s="9" customFormat="1" ht="16.5" thickBot="1" thickTop="1">
      <c r="A22" s="95" t="s">
        <v>11</v>
      </c>
      <c r="B22" s="349" t="s">
        <v>10</v>
      </c>
      <c r="C22" s="378" t="s">
        <v>157</v>
      </c>
      <c r="D22" s="379"/>
      <c r="E22" s="380"/>
      <c r="F22" s="558">
        <v>0</v>
      </c>
      <c r="G22" s="568">
        <f>ROUND($O$2/I22,0)</f>
        <v>224298</v>
      </c>
      <c r="H22" s="549">
        <v>0</v>
      </c>
      <c r="I22" s="548">
        <f>IF($H$3="Nyugdíjas",1,1.21)</f>
        <v>1.21</v>
      </c>
      <c r="J22" s="52"/>
      <c r="K22" s="512">
        <f>IF(AND(H22&gt;=0,H22&lt;=G22),ROUNDDOWN((H22*I22),0),"A beírt összeg rossz!")</f>
        <v>0</v>
      </c>
      <c r="L22" s="22"/>
      <c r="M22" s="470">
        <f>IF($O$4&gt;0,IF($O$4/I22&lt;G22,IF(G22-H22&lt;=$O$4/I22,G22-H22,IF($O$4/I22&gt;0,ROUND(($O$4/I22),0),0)),G22-H22),0)</f>
        <v>224298</v>
      </c>
      <c r="N22" s="562">
        <f>IF(K22="A beírt összeg rossz!","A program nem veszi figyelembe.","")</f>
      </c>
      <c r="O22" s="563"/>
      <c r="P22" s="300"/>
    </row>
    <row r="23" spans="1:17" s="9" customFormat="1" ht="24" customHeight="1" thickBot="1" thickTop="1">
      <c r="A23" s="95"/>
      <c r="B23" s="349"/>
      <c r="C23" s="381"/>
      <c r="D23" s="382"/>
      <c r="E23" s="383"/>
      <c r="F23" s="558"/>
      <c r="G23" s="569"/>
      <c r="H23" s="549"/>
      <c r="I23" s="548"/>
      <c r="J23" s="52"/>
      <c r="K23" s="557"/>
      <c r="L23" s="34"/>
      <c r="M23" s="471"/>
      <c r="N23" s="552">
        <f>IF(P23="","","Adó és járulék terhek levonása után a  kifizetendő  várható összege:»»»")</f>
      </c>
      <c r="O23" s="553"/>
      <c r="P23" s="187">
        <f>IF((AND(H22&gt;0,I22=1.21)),H22*0.665,IF(AND(H22&gt;0,I22=1),H22*0.85,""))</f>
      </c>
      <c r="Q23" s="186">
        <f>IF(H22&gt;0,"«Tájékoztató és nem tény adat!","")</f>
      </c>
    </row>
    <row r="24" spans="1:16" ht="18.75" customHeight="1" thickBot="1" thickTop="1">
      <c r="A24" s="96"/>
      <c r="B24" s="349"/>
      <c r="C24" s="99" t="s">
        <v>126</v>
      </c>
      <c r="D24" s="389"/>
      <c r="E24" s="390"/>
      <c r="F24" s="558"/>
      <c r="G24" s="570"/>
      <c r="H24" s="549"/>
      <c r="I24" s="548"/>
      <c r="J24" s="52"/>
      <c r="K24" s="513"/>
      <c r="L24" s="23"/>
      <c r="M24" s="472"/>
      <c r="N24" s="353">
        <f>IF(H22&lt;&gt;0,IF(LEN(D24)=0,"Kérem válasszon pénztárat",""),"")</f>
      </c>
      <c r="O24" s="354"/>
      <c r="P24" s="355"/>
    </row>
    <row r="25" spans="1:17" s="9" customFormat="1" ht="29.25" customHeight="1" thickBot="1" thickTop="1">
      <c r="A25" s="95"/>
      <c r="B25" s="77" t="s">
        <v>134</v>
      </c>
      <c r="C25" s="449" t="s">
        <v>192</v>
      </c>
      <c r="D25" s="450"/>
      <c r="E25" s="464"/>
      <c r="F25" s="154">
        <v>0</v>
      </c>
      <c r="G25" s="156">
        <f aca="true" t="shared" si="0" ref="G25:G30">ROUND($O$2/I25,0)</f>
        <v>224298</v>
      </c>
      <c r="H25" s="206">
        <v>0</v>
      </c>
      <c r="I25" s="213">
        <f aca="true" t="shared" si="1" ref="I25:I30">IF($H$3="Nyugdíjas",1,1.21)</f>
        <v>1.21</v>
      </c>
      <c r="J25" s="52"/>
      <c r="K25" s="324">
        <f>IF(AND(H25&gt;=0,H25&lt;=G25),ROUNDDOWN((H25*I25),0),"A beírt összeg rossz!")</f>
        <v>0</v>
      </c>
      <c r="L25" s="23"/>
      <c r="M25" s="207">
        <f>IF(AND(G25&gt;0,$O$4&gt;0),IF($O$4&lt;G25,IF(G25-H25&lt;=$O$4/I25,G25-H25,$O$4/I25),G25-H25),0)</f>
        <v>224298</v>
      </c>
      <c r="N25" s="402">
        <f>IF(P25="","","Adó és járulék terhek levonása után a  kifizetendő  várható összege:»»»")</f>
      </c>
      <c r="O25" s="403"/>
      <c r="P25" s="187">
        <f aca="true" t="shared" si="2" ref="P25:P30">IF((AND(H25&gt;0,I25=1.21)),H25*0.665,IF(AND(H25&gt;0,I25=1),H25*0.85,""))</f>
      </c>
      <c r="Q25" s="186">
        <f aca="true" t="shared" si="3" ref="Q25:Q30">IF(H25&gt;0,"«Tájékoztató és nem tény adat!","")</f>
      </c>
    </row>
    <row r="26" spans="1:18" s="9" customFormat="1" ht="30.75" customHeight="1" thickBot="1" thickTop="1">
      <c r="A26" s="95"/>
      <c r="B26" s="94" t="s">
        <v>23</v>
      </c>
      <c r="C26" s="375" t="s">
        <v>193</v>
      </c>
      <c r="D26" s="376"/>
      <c r="E26" s="377"/>
      <c r="F26" s="154">
        <f>IF(O2&gt;100000,100000,0)</f>
        <v>100000</v>
      </c>
      <c r="G26" s="156">
        <f>IF($O$2&gt;100000,$O$2/I26,0)</f>
        <v>224297.52066115703</v>
      </c>
      <c r="H26" s="163">
        <v>0</v>
      </c>
      <c r="I26" s="50">
        <f t="shared" si="1"/>
        <v>1.21</v>
      </c>
      <c r="J26" s="33"/>
      <c r="K26" s="323">
        <f>IF(H26=0,H26,IF(AND(H26&lt;=$O$2),ROUNDDOWN((H26*I26),0),"A beírt összeg rossz!"))</f>
        <v>0</v>
      </c>
      <c r="L26" s="34"/>
      <c r="M26" s="169">
        <f>IF($O$4&gt;0,IF($O$4/I26&lt;G26,IF(G26-H26&lt;=$O$4/I26,G26-H26,IF($O$4/I26&gt;0,ROUND(($O$4/I26),0),0)),G26-H26),0)</f>
        <v>224297.52066115703</v>
      </c>
      <c r="N26" s="402">
        <f>IF(P26="","","Adó és járulék terhek levonása után a  kifizetendő  várható összege:»»»")</f>
      </c>
      <c r="O26" s="403"/>
      <c r="P26" s="187">
        <f t="shared" si="2"/>
      </c>
      <c r="Q26" s="186">
        <f t="shared" si="3"/>
      </c>
      <c r="R26" s="160"/>
    </row>
    <row r="27" spans="1:18" s="9" customFormat="1" ht="30.75" customHeight="1" thickBot="1" thickTop="1">
      <c r="A27" s="95"/>
      <c r="B27" s="94" t="s">
        <v>173</v>
      </c>
      <c r="C27" s="449" t="s">
        <v>175</v>
      </c>
      <c r="D27" s="450"/>
      <c r="E27" s="464"/>
      <c r="F27" s="154">
        <v>0</v>
      </c>
      <c r="G27" s="156">
        <f t="shared" si="0"/>
        <v>224298</v>
      </c>
      <c r="H27" s="163">
        <v>0</v>
      </c>
      <c r="I27" s="50">
        <f t="shared" si="1"/>
        <v>1.21</v>
      </c>
      <c r="J27" s="33"/>
      <c r="K27" s="324">
        <f>IF(AND(H27&gt;=0,H27&lt;=G27),ROUNDDOWN((H27*I27),0),"A beírt összeg rossz!")</f>
        <v>0</v>
      </c>
      <c r="L27" s="34"/>
      <c r="M27" s="169">
        <f>IF($O$4&gt;0,IF($O$4/I27&lt;G27,IF(G27-H27&lt;=$O$4/I27,G27-H27,IF($O$4/I27&gt;0,ROUND(($O$4/I27),0),0)),G27-H27),0)</f>
        <v>224298</v>
      </c>
      <c r="N27" s="402">
        <f>IF(P27="","","Adó és járulék terhek levonása után a  kifizetendő  várható összege:»»»")</f>
      </c>
      <c r="O27" s="403"/>
      <c r="P27" s="187">
        <f t="shared" si="2"/>
      </c>
      <c r="Q27" s="186">
        <f t="shared" si="3"/>
      </c>
      <c r="R27" s="160"/>
    </row>
    <row r="28" spans="1:18" s="9" customFormat="1" ht="30.75" customHeight="1" thickBot="1" thickTop="1">
      <c r="A28" s="95"/>
      <c r="B28" s="94" t="s">
        <v>174</v>
      </c>
      <c r="C28" s="449" t="s">
        <v>176</v>
      </c>
      <c r="D28" s="450"/>
      <c r="E28" s="464"/>
      <c r="F28" s="154">
        <v>0</v>
      </c>
      <c r="G28" s="156">
        <f t="shared" si="0"/>
        <v>224298</v>
      </c>
      <c r="H28" s="163">
        <v>0</v>
      </c>
      <c r="I28" s="50">
        <f t="shared" si="1"/>
        <v>1.21</v>
      </c>
      <c r="J28" s="33"/>
      <c r="K28" s="324">
        <f>IF(AND(H28&gt;=0,H28&lt;=G28),ROUNDDOWN((H28*I28),0),"A beírt összeg rossz!")</f>
        <v>0</v>
      </c>
      <c r="L28" s="34"/>
      <c r="M28" s="169">
        <f>IF($O$4&gt;0,IF($O$4/I28&lt;G28,IF(G28-H28&lt;=$O$4/I28,G28-H28,IF($O$4/I28&gt;0,ROUND(($O$4/I28),0),0)),G28-H28),0)</f>
        <v>224298</v>
      </c>
      <c r="N28" s="402">
        <f>IF(P28="","","Adó és járulék terhek levonása után a  kifizetendő  várható összege:»»»")</f>
      </c>
      <c r="O28" s="403"/>
      <c r="P28" s="187">
        <f t="shared" si="2"/>
      </c>
      <c r="Q28" s="186">
        <f t="shared" si="3"/>
      </c>
      <c r="R28" s="160"/>
    </row>
    <row r="29" spans="1:17" ht="34.5" customHeight="1" thickBot="1" thickTop="1">
      <c r="A29" s="96"/>
      <c r="B29" s="77" t="s">
        <v>177</v>
      </c>
      <c r="C29" s="564" t="s">
        <v>144</v>
      </c>
      <c r="D29" s="565"/>
      <c r="E29" s="566"/>
      <c r="F29" s="154">
        <v>0</v>
      </c>
      <c r="G29" s="156">
        <f t="shared" si="0"/>
        <v>224298</v>
      </c>
      <c r="H29" s="138">
        <v>0</v>
      </c>
      <c r="I29" s="70">
        <f t="shared" si="1"/>
        <v>1.21</v>
      </c>
      <c r="J29" s="52"/>
      <c r="K29" s="324">
        <f>IF(AND(H29&gt;=0,H29&lt;=G29),ROUNDDOWN((H29*I29),0),"A beírt összeg rossz!")</f>
        <v>0</v>
      </c>
      <c r="L29" s="23"/>
      <c r="M29" s="303">
        <f>IF($O$4&gt;0,IF($O$4/I29&lt;G29,IF(G29-H29&lt;=$O$4/I29,G29-H29,IF($O$4/I29&gt;0,ROUND(($O$4/I29),0),0)),G29-H29),0)</f>
        <v>224298</v>
      </c>
      <c r="N29" s="402">
        <f>IF(P29="","","Adó és járulék terhek levonása után a  kifizetendő  várható összege:»»»")</f>
      </c>
      <c r="O29" s="403"/>
      <c r="P29" s="187">
        <f t="shared" si="2"/>
      </c>
      <c r="Q29" s="186">
        <f t="shared" si="3"/>
      </c>
    </row>
    <row r="30" spans="1:19" s="9" customFormat="1" ht="27.75" customHeight="1" hidden="1" thickBot="1" thickTop="1">
      <c r="A30" s="95"/>
      <c r="B30" s="256" t="s">
        <v>194</v>
      </c>
      <c r="C30" s="540" t="s">
        <v>197</v>
      </c>
      <c r="D30" s="541"/>
      <c r="E30" s="541"/>
      <c r="F30" s="257">
        <v>0</v>
      </c>
      <c r="G30" s="258">
        <f t="shared" si="0"/>
        <v>224298</v>
      </c>
      <c r="H30" s="259">
        <v>0</v>
      </c>
      <c r="I30" s="260">
        <f t="shared" si="1"/>
        <v>1.21</v>
      </c>
      <c r="J30" s="261"/>
      <c r="K30" s="262">
        <f>IF(AND(H30&gt;=0,H30&lt;=G30),ROUND((H30*I30),0),"A beírt összeg rossz!")</f>
        <v>0</v>
      </c>
      <c r="L30" s="263"/>
      <c r="M30" s="301">
        <f>IF($O$4&gt;0,IF($O$4/I30&lt;G30,IF(G30-H30&lt;=$O$4/I30,G30-H30,IF($O$4/I30&gt;0,ROUND(($O$4/I30),0),0)),G30-H30),0)</f>
        <v>224298</v>
      </c>
      <c r="N30" s="291"/>
      <c r="O30" s="302">
        <f>IF(P30="","","Adó és járulék terhek levonása után a  kifizetendő  várható összege:»»»")</f>
      </c>
      <c r="P30" s="187">
        <f t="shared" si="2"/>
      </c>
      <c r="Q30" s="186">
        <f t="shared" si="3"/>
      </c>
      <c r="R30" s="6"/>
      <c r="S30" s="143"/>
    </row>
    <row r="31" spans="1:18" s="9" customFormat="1" ht="58.5" customHeight="1" thickBot="1" thickTop="1">
      <c r="A31" s="90"/>
      <c r="C31" s="391">
        <f>IF(AND(OR(H12&gt;0,H14&gt;0,H15&gt;0,H16&gt;0,H17&gt;0,H18&gt;0),H6=""),"Ön SZÉP Kártya juttatást választott, de elfelejtette kiválasztani a H6 mezőben a SZÉP Kártya típusát!","")</f>
      </c>
      <c r="D31" s="392"/>
      <c r="E31" s="392"/>
      <c r="F31" s="392"/>
      <c r="G31" s="393"/>
      <c r="H31" s="452" t="s">
        <v>48</v>
      </c>
      <c r="I31" s="453"/>
      <c r="J31" s="286"/>
      <c r="K31" s="287">
        <f>SUM(K30,K29,K28,K27,K26,K25,K22,K19,K18,K17,K16,K15,K14,K12,K11,K10,K9)</f>
        <v>0</v>
      </c>
      <c r="L31" s="288"/>
      <c r="M31" s="409" t="s">
        <v>253</v>
      </c>
      <c r="N31" s="410"/>
      <c r="O31" s="410"/>
      <c r="P31" s="411"/>
      <c r="R31" s="161"/>
    </row>
    <row r="32" spans="2:7" ht="18.75" customHeight="1">
      <c r="B32" s="78"/>
      <c r="C32" s="318"/>
      <c r="D32" s="343">
        <f ca="1">TODAY()</f>
        <v>43518</v>
      </c>
      <c r="E32" s="395"/>
      <c r="F32" s="395"/>
      <c r="G32" s="153"/>
    </row>
    <row r="33" spans="3:11" ht="18.75" customHeight="1">
      <c r="C33" s="28" t="s">
        <v>50</v>
      </c>
      <c r="D33" s="28" t="s">
        <v>51</v>
      </c>
      <c r="F33" s="28"/>
      <c r="K33" s="28"/>
    </row>
    <row r="34" spans="3:8" ht="10.5" customHeight="1" thickBot="1">
      <c r="C34" s="13"/>
      <c r="G34" s="6"/>
      <c r="H34" s="6"/>
    </row>
    <row r="35" spans="2:16" ht="125.25" customHeight="1" thickTop="1">
      <c r="B35" s="518" t="s">
        <v>255</v>
      </c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20"/>
    </row>
    <row r="36" spans="2:16" ht="27" customHeight="1">
      <c r="B36" s="554" t="s">
        <v>154</v>
      </c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556"/>
    </row>
    <row r="37" spans="2:16" ht="75" customHeight="1" thickBot="1">
      <c r="B37" s="396" t="s">
        <v>256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8"/>
    </row>
    <row r="38" spans="2:16" ht="38.25" customHeight="1" thickBot="1">
      <c r="B38" s="543" t="s">
        <v>254</v>
      </c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5"/>
    </row>
    <row r="39" spans="2:16" ht="27.75" customHeight="1">
      <c r="B39" s="365" t="s">
        <v>225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7"/>
    </row>
    <row r="40" spans="2:16" ht="13.5" customHeight="1" thickBot="1">
      <c r="B40" s="131"/>
      <c r="C40" s="132"/>
      <c r="D40" s="133"/>
      <c r="E40" s="133"/>
      <c r="F40" s="133"/>
      <c r="G40" s="133"/>
      <c r="H40" s="134"/>
      <c r="I40" s="135"/>
      <c r="J40" s="135"/>
      <c r="K40" s="136"/>
      <c r="L40" s="136"/>
      <c r="M40" s="134"/>
      <c r="N40" s="134"/>
      <c r="O40" s="133"/>
      <c r="P40" s="137"/>
    </row>
    <row r="41" spans="2:14" ht="21" hidden="1" thickTop="1">
      <c r="B41" s="6"/>
      <c r="C41" s="80" t="s">
        <v>206</v>
      </c>
      <c r="E41" s="235" t="s">
        <v>209</v>
      </c>
      <c r="F41" s="236" t="s">
        <v>210</v>
      </c>
      <c r="G41" s="237" t="s">
        <v>212</v>
      </c>
      <c r="H41" s="238" t="s">
        <v>211</v>
      </c>
      <c r="I41" s="239" t="s">
        <v>208</v>
      </c>
      <c r="J41" s="6"/>
      <c r="L41" s="6"/>
      <c r="M41" s="6"/>
      <c r="N41" s="6"/>
    </row>
    <row r="42" spans="2:14" ht="12.75" hidden="1">
      <c r="B42" s="6"/>
      <c r="C42" s="171" t="s">
        <v>116</v>
      </c>
      <c r="E42" s="229" t="s">
        <v>116</v>
      </c>
      <c r="F42" s="234" t="s">
        <v>116</v>
      </c>
      <c r="G42" s="231" t="s">
        <v>116</v>
      </c>
      <c r="H42" s="240" t="s">
        <v>116</v>
      </c>
      <c r="I42" s="232" t="s">
        <v>116</v>
      </c>
      <c r="J42" s="6"/>
      <c r="L42" s="6"/>
      <c r="M42" s="6"/>
      <c r="N42" s="6"/>
    </row>
    <row r="43" spans="2:14" ht="13.5" hidden="1" thickBot="1">
      <c r="B43" s="6"/>
      <c r="C43" s="173" t="s">
        <v>46</v>
      </c>
      <c r="E43" s="229" t="s">
        <v>46</v>
      </c>
      <c r="F43" s="234" t="s">
        <v>46</v>
      </c>
      <c r="G43" s="231" t="s">
        <v>101</v>
      </c>
      <c r="H43" s="241" t="s">
        <v>46</v>
      </c>
      <c r="I43" s="233" t="s">
        <v>46</v>
      </c>
      <c r="J43" s="6"/>
      <c r="L43" s="6"/>
      <c r="M43" s="6"/>
      <c r="N43" s="6"/>
    </row>
    <row r="44" spans="2:19" ht="18.75" hidden="1" thickBot="1">
      <c r="B44" s="6"/>
      <c r="C44" s="173" t="s">
        <v>160</v>
      </c>
      <c r="E44" s="229" t="s">
        <v>160</v>
      </c>
      <c r="F44" s="234" t="s">
        <v>160</v>
      </c>
      <c r="G44" s="231" t="s">
        <v>161</v>
      </c>
      <c r="H44" s="241" t="s">
        <v>160</v>
      </c>
      <c r="I44" s="233" t="s">
        <v>160</v>
      </c>
      <c r="J44" s="6"/>
      <c r="L44" s="6"/>
      <c r="M44" s="6"/>
      <c r="N44" s="6"/>
      <c r="O44" s="244" t="s">
        <v>136</v>
      </c>
      <c r="P44" s="245"/>
      <c r="Q44" s="245"/>
      <c r="S44" s="6">
        <v>271400</v>
      </c>
    </row>
    <row r="45" spans="2:19" ht="18.75" hidden="1" thickBot="1">
      <c r="B45" s="6"/>
      <c r="C45" s="173" t="s">
        <v>140</v>
      </c>
      <c r="E45" s="229" t="s">
        <v>140</v>
      </c>
      <c r="F45" s="234" t="s">
        <v>147</v>
      </c>
      <c r="G45" s="231" t="s">
        <v>28</v>
      </c>
      <c r="H45" s="241" t="s">
        <v>140</v>
      </c>
      <c r="I45" s="173" t="s">
        <v>147</v>
      </c>
      <c r="J45" s="6"/>
      <c r="L45" s="6"/>
      <c r="M45" s="6"/>
      <c r="N45" s="6"/>
      <c r="O45" s="244" t="s">
        <v>229</v>
      </c>
      <c r="P45" s="245"/>
      <c r="Q45" s="245"/>
      <c r="R45" s="245"/>
      <c r="S45" s="6">
        <v>271400</v>
      </c>
    </row>
    <row r="46" spans="2:19" ht="18.75" hidden="1" thickBot="1">
      <c r="B46" s="6"/>
      <c r="C46" s="173" t="s">
        <v>147</v>
      </c>
      <c r="E46" s="229" t="s">
        <v>147</v>
      </c>
      <c r="F46" s="234" t="s">
        <v>112</v>
      </c>
      <c r="G46" s="231" t="s">
        <v>151</v>
      </c>
      <c r="H46" s="241" t="s">
        <v>147</v>
      </c>
      <c r="I46" s="173" t="s">
        <v>139</v>
      </c>
      <c r="J46" s="6"/>
      <c r="L46" s="6"/>
      <c r="M46" s="6"/>
      <c r="N46" s="6"/>
      <c r="O46" s="246" t="s">
        <v>228</v>
      </c>
      <c r="P46" s="247"/>
      <c r="Q46" s="247"/>
      <c r="R46" s="247"/>
      <c r="S46" s="6">
        <v>271400</v>
      </c>
    </row>
    <row r="47" spans="2:19" ht="18.75" hidden="1" thickBot="1">
      <c r="B47" s="6"/>
      <c r="C47" s="173" t="s">
        <v>139</v>
      </c>
      <c r="E47" s="230" t="s">
        <v>218</v>
      </c>
      <c r="F47" s="234" t="s">
        <v>101</v>
      </c>
      <c r="G47" s="231" t="s">
        <v>148</v>
      </c>
      <c r="H47" s="242" t="s">
        <v>221</v>
      </c>
      <c r="I47" s="173" t="s">
        <v>112</v>
      </c>
      <c r="J47" s="6"/>
      <c r="L47" s="6"/>
      <c r="M47" s="6"/>
      <c r="N47" s="6"/>
      <c r="O47" s="246" t="s">
        <v>227</v>
      </c>
      <c r="P47" s="247"/>
      <c r="Q47" s="247"/>
      <c r="R47" s="247"/>
      <c r="S47" s="6">
        <v>271400</v>
      </c>
    </row>
    <row r="48" spans="2:19" ht="18.75" hidden="1" thickBot="1">
      <c r="B48" s="6"/>
      <c r="C48" s="173" t="s">
        <v>111</v>
      </c>
      <c r="E48" s="230" t="s">
        <v>221</v>
      </c>
      <c r="F48" s="234" t="s">
        <v>113</v>
      </c>
      <c r="G48" s="231" t="s">
        <v>29</v>
      </c>
      <c r="H48" s="243" t="s">
        <v>101</v>
      </c>
      <c r="I48" s="173" t="s">
        <v>223</v>
      </c>
      <c r="J48" s="6"/>
      <c r="L48" s="6"/>
      <c r="M48" s="6"/>
      <c r="N48" s="6"/>
      <c r="O48" s="246" t="s">
        <v>231</v>
      </c>
      <c r="P48" s="247"/>
      <c r="Q48" s="247"/>
      <c r="R48" s="247"/>
      <c r="S48" s="6">
        <v>271400</v>
      </c>
    </row>
    <row r="49" spans="2:19" ht="18.75" hidden="1" thickBot="1">
      <c r="B49" s="6"/>
      <c r="C49" s="173" t="s">
        <v>112</v>
      </c>
      <c r="E49" s="229" t="s">
        <v>112</v>
      </c>
      <c r="F49" s="234" t="s">
        <v>161</v>
      </c>
      <c r="G49" s="6"/>
      <c r="H49" s="243" t="s">
        <v>113</v>
      </c>
      <c r="I49" s="173" t="s">
        <v>101</v>
      </c>
      <c r="J49" s="6"/>
      <c r="K49" s="6"/>
      <c r="L49" s="6"/>
      <c r="M49" s="6"/>
      <c r="N49" s="6"/>
      <c r="O49" s="246" t="s">
        <v>230</v>
      </c>
      <c r="P49" s="247"/>
      <c r="Q49" s="247"/>
      <c r="R49" s="247"/>
      <c r="S49" s="6">
        <v>230000</v>
      </c>
    </row>
    <row r="50" spans="2:14" ht="13.5" hidden="1" thickBot="1">
      <c r="B50" s="6"/>
      <c r="C50" s="173" t="s">
        <v>223</v>
      </c>
      <c r="E50" s="230" t="s">
        <v>222</v>
      </c>
      <c r="F50" s="234" t="s">
        <v>115</v>
      </c>
      <c r="G50" s="6"/>
      <c r="H50" s="243" t="s">
        <v>161</v>
      </c>
      <c r="I50" s="173" t="s">
        <v>113</v>
      </c>
      <c r="J50" s="6"/>
      <c r="K50" s="6"/>
      <c r="L50" s="6"/>
      <c r="M50" s="6"/>
      <c r="N50" s="6"/>
    </row>
    <row r="51" spans="2:14" ht="13.5" hidden="1" thickBot="1">
      <c r="B51" s="6"/>
      <c r="C51" s="173" t="s">
        <v>219</v>
      </c>
      <c r="E51" s="229" t="s">
        <v>219</v>
      </c>
      <c r="F51" s="234" t="s">
        <v>28</v>
      </c>
      <c r="G51" s="6"/>
      <c r="H51" s="243" t="s">
        <v>115</v>
      </c>
      <c r="I51" s="173" t="s">
        <v>224</v>
      </c>
      <c r="J51" s="6"/>
      <c r="K51" s="6"/>
      <c r="L51" s="6"/>
      <c r="M51" s="6"/>
      <c r="N51" s="6"/>
    </row>
    <row r="52" spans="2:18" ht="18.75" hidden="1" thickBot="1">
      <c r="B52" s="6"/>
      <c r="C52" s="173" t="s">
        <v>101</v>
      </c>
      <c r="E52" s="229" t="s">
        <v>101</v>
      </c>
      <c r="F52" s="234" t="s">
        <v>151</v>
      </c>
      <c r="G52" s="6"/>
      <c r="H52" s="243" t="s">
        <v>28</v>
      </c>
      <c r="I52" s="173" t="s">
        <v>161</v>
      </c>
      <c r="J52" s="6"/>
      <c r="K52" s="6"/>
      <c r="L52" s="6"/>
      <c r="M52" s="6"/>
      <c r="N52" s="6"/>
      <c r="P52" s="251" t="s">
        <v>234</v>
      </c>
      <c r="R52" s="252">
        <f>IF(B6=O49,230000,271400)</f>
        <v>271400</v>
      </c>
    </row>
    <row r="53" spans="2:14" ht="13.5" hidden="1" thickBot="1">
      <c r="B53" s="6"/>
      <c r="C53" s="173" t="s">
        <v>113</v>
      </c>
      <c r="E53" s="229" t="s">
        <v>113</v>
      </c>
      <c r="F53" s="234" t="s">
        <v>148</v>
      </c>
      <c r="G53" s="6"/>
      <c r="H53" s="243" t="s">
        <v>151</v>
      </c>
      <c r="I53" s="173" t="s">
        <v>115</v>
      </c>
      <c r="J53" s="6"/>
      <c r="K53" s="6"/>
      <c r="L53" s="6"/>
      <c r="M53" s="6"/>
      <c r="N53" s="6"/>
    </row>
    <row r="54" spans="2:14" ht="13.5" hidden="1" thickBot="1">
      <c r="B54" s="6"/>
      <c r="C54" s="173" t="s">
        <v>224</v>
      </c>
      <c r="E54" s="229" t="s">
        <v>161</v>
      </c>
      <c r="F54" s="234" t="s">
        <v>145</v>
      </c>
      <c r="G54" s="6"/>
      <c r="H54" s="243" t="s">
        <v>148</v>
      </c>
      <c r="I54" s="173" t="s">
        <v>28</v>
      </c>
      <c r="J54" s="6"/>
      <c r="K54" s="6"/>
      <c r="L54" s="6"/>
      <c r="M54" s="6"/>
      <c r="N54" s="6"/>
    </row>
    <row r="55" spans="2:14" ht="13.5" hidden="1" thickBot="1">
      <c r="B55" s="6"/>
      <c r="C55" s="173" t="s">
        <v>161</v>
      </c>
      <c r="E55" s="229" t="s">
        <v>114</v>
      </c>
      <c r="F55" s="234" t="s">
        <v>146</v>
      </c>
      <c r="G55" s="6"/>
      <c r="H55" s="243" t="s">
        <v>145</v>
      </c>
      <c r="I55" s="173" t="s">
        <v>151</v>
      </c>
      <c r="J55" s="6"/>
      <c r="K55" s="6"/>
      <c r="L55" s="6"/>
      <c r="M55" s="6"/>
      <c r="N55" s="6"/>
    </row>
    <row r="56" spans="2:14" ht="13.5" hidden="1" thickBot="1">
      <c r="B56" s="6"/>
      <c r="C56" s="173" t="s">
        <v>114</v>
      </c>
      <c r="E56" s="229" t="s">
        <v>115</v>
      </c>
      <c r="F56" s="234" t="s">
        <v>104</v>
      </c>
      <c r="G56" s="6"/>
      <c r="H56" s="243" t="s">
        <v>146</v>
      </c>
      <c r="I56" s="173" t="s">
        <v>148</v>
      </c>
      <c r="J56" s="6"/>
      <c r="K56" s="6"/>
      <c r="L56" s="6"/>
      <c r="M56" s="6"/>
      <c r="N56" s="6"/>
    </row>
    <row r="57" spans="2:14" ht="13.5" hidden="1" thickBot="1">
      <c r="B57" s="6"/>
      <c r="C57" s="173" t="s">
        <v>115</v>
      </c>
      <c r="E57" s="230" t="s">
        <v>220</v>
      </c>
      <c r="F57" s="234" t="s">
        <v>137</v>
      </c>
      <c r="G57" s="6"/>
      <c r="H57" s="243" t="s">
        <v>29</v>
      </c>
      <c r="I57" s="173" t="s">
        <v>145</v>
      </c>
      <c r="J57" s="6"/>
      <c r="K57" s="6"/>
      <c r="L57" s="6"/>
      <c r="M57" s="6"/>
      <c r="N57" s="6"/>
    </row>
    <row r="58" spans="2:14" ht="13.5" hidden="1" thickBot="1">
      <c r="B58" s="6"/>
      <c r="C58" s="173" t="s">
        <v>28</v>
      </c>
      <c r="E58" s="229" t="s">
        <v>28</v>
      </c>
      <c r="F58" s="234" t="s">
        <v>29</v>
      </c>
      <c r="G58" s="6"/>
      <c r="H58" s="6"/>
      <c r="I58" s="173" t="s">
        <v>146</v>
      </c>
      <c r="J58" s="6"/>
      <c r="K58" s="6"/>
      <c r="L58" s="6"/>
      <c r="M58" s="6"/>
      <c r="N58" s="6"/>
    </row>
    <row r="59" spans="2:14" ht="13.5" hidden="1" thickBot="1">
      <c r="B59" s="6"/>
      <c r="C59" s="173" t="s">
        <v>151</v>
      </c>
      <c r="E59" s="229" t="s">
        <v>151</v>
      </c>
      <c r="G59" s="6"/>
      <c r="H59" s="6"/>
      <c r="I59" s="173" t="s">
        <v>137</v>
      </c>
      <c r="J59" s="6"/>
      <c r="K59" s="6"/>
      <c r="L59" s="6"/>
      <c r="M59" s="6"/>
      <c r="N59" s="6"/>
    </row>
    <row r="60" spans="2:14" ht="13.5" hidden="1" thickBot="1">
      <c r="B60" s="6"/>
      <c r="C60" s="173" t="s">
        <v>148</v>
      </c>
      <c r="E60" s="229" t="s">
        <v>148</v>
      </c>
      <c r="G60" s="6"/>
      <c r="H60" s="172"/>
      <c r="I60" s="173" t="s">
        <v>29</v>
      </c>
      <c r="J60" s="6"/>
      <c r="K60" s="6"/>
      <c r="L60" s="6"/>
      <c r="M60" s="6"/>
      <c r="N60" s="6"/>
    </row>
    <row r="61" spans="2:14" ht="13.5" hidden="1" thickBot="1">
      <c r="B61" s="6"/>
      <c r="C61" s="173" t="s">
        <v>145</v>
      </c>
      <c r="E61" s="229" t="s">
        <v>145</v>
      </c>
      <c r="G61" s="6"/>
      <c r="H61" s="172"/>
      <c r="L61" s="6"/>
      <c r="M61" s="6"/>
      <c r="N61" s="6"/>
    </row>
    <row r="62" spans="2:14" ht="13.5" hidden="1" thickBot="1">
      <c r="B62" s="6"/>
      <c r="C62" s="173" t="s">
        <v>146</v>
      </c>
      <c r="E62" s="229" t="s">
        <v>146</v>
      </c>
      <c r="G62" s="6"/>
      <c r="H62" s="172"/>
      <c r="I62" s="6"/>
      <c r="J62" s="6"/>
      <c r="K62" s="6"/>
      <c r="L62" s="6"/>
      <c r="M62" s="6"/>
      <c r="N62" s="6"/>
    </row>
    <row r="63" spans="2:14" ht="13.5" hidden="1" thickBot="1">
      <c r="B63" s="6"/>
      <c r="C63" s="173" t="s">
        <v>104</v>
      </c>
      <c r="E63" s="229" t="s">
        <v>104</v>
      </c>
      <c r="G63" s="6"/>
      <c r="H63" s="172"/>
      <c r="I63" s="6"/>
      <c r="J63" s="6"/>
      <c r="K63" s="6"/>
      <c r="L63" s="6"/>
      <c r="M63" s="6"/>
      <c r="N63" s="6"/>
    </row>
    <row r="64" spans="2:14" ht="13.5" hidden="1" thickBot="1">
      <c r="B64" s="6"/>
      <c r="C64" s="173" t="s">
        <v>137</v>
      </c>
      <c r="E64" s="229" t="s">
        <v>29</v>
      </c>
      <c r="G64" s="6"/>
      <c r="H64" s="172"/>
      <c r="I64" s="6"/>
      <c r="J64" s="6"/>
      <c r="K64" s="6"/>
      <c r="L64" s="6"/>
      <c r="M64" s="6"/>
      <c r="N64" s="6"/>
    </row>
    <row r="65" spans="2:14" ht="13.5" hidden="1" thickBot="1">
      <c r="B65" s="6"/>
      <c r="C65" s="173" t="s">
        <v>29</v>
      </c>
      <c r="G65" s="6"/>
      <c r="H65" s="172"/>
      <c r="I65" s="6"/>
      <c r="J65" s="6"/>
      <c r="K65" s="6"/>
      <c r="L65" s="6"/>
      <c r="M65" s="6"/>
      <c r="N65" s="6"/>
    </row>
    <row r="66" spans="2:14" ht="12.75" hidden="1">
      <c r="B66" s="6"/>
      <c r="G66" s="6"/>
      <c r="I66" s="6"/>
      <c r="J66" s="6"/>
      <c r="K66" s="6"/>
      <c r="L66" s="6"/>
      <c r="M66" s="6"/>
      <c r="N66" s="6"/>
    </row>
    <row r="67" spans="2:14" ht="12.75" hidden="1">
      <c r="B67" s="6"/>
      <c r="C67" s="6" t="e">
        <f>IF(B6=O44,C42:C65,IF(B6=O45,E42:E64,IF(B6=O46,F42:F58,IF(B6=O49,I42:I60,IF(B6=O47,G42:G48,IF(B6=O48,H42:H57,""))))))</f>
        <v>#VALUE!</v>
      </c>
      <c r="G67" s="6"/>
      <c r="I67" s="6"/>
      <c r="J67" s="6"/>
      <c r="K67" s="6"/>
      <c r="L67" s="6"/>
      <c r="M67" s="6"/>
      <c r="N67" s="6"/>
    </row>
    <row r="68" spans="2:14" ht="12.75" hidden="1">
      <c r="B68" s="6"/>
      <c r="G68" s="6"/>
      <c r="I68" s="6"/>
      <c r="J68" s="6"/>
      <c r="K68" s="6"/>
      <c r="L68" s="6"/>
      <c r="M68" s="6"/>
      <c r="N68" s="6"/>
    </row>
    <row r="69" spans="2:14" ht="20.25" hidden="1">
      <c r="B69" s="6"/>
      <c r="C69" s="80"/>
      <c r="G69" s="6"/>
      <c r="I69" s="6"/>
      <c r="J69" s="6"/>
      <c r="K69" s="6"/>
      <c r="L69" s="6"/>
      <c r="M69" s="6"/>
      <c r="N69" s="6"/>
    </row>
    <row r="70" spans="2:14" ht="20.25" hidden="1">
      <c r="B70" s="6"/>
      <c r="C70" s="80" t="s">
        <v>207</v>
      </c>
      <c r="E70" s="6" t="s">
        <v>213</v>
      </c>
      <c r="F70" s="6" t="s">
        <v>214</v>
      </c>
      <c r="G70" s="6" t="s">
        <v>217</v>
      </c>
      <c r="H70" s="14" t="s">
        <v>216</v>
      </c>
      <c r="I70" s="10" t="s">
        <v>215</v>
      </c>
      <c r="J70" s="6"/>
      <c r="K70" s="6"/>
      <c r="L70" s="6"/>
      <c r="M70" s="6"/>
      <c r="N70" s="6"/>
    </row>
    <row r="71" spans="2:14" ht="13.5" hidden="1" thickBot="1">
      <c r="B71" s="6"/>
      <c r="C71" s="174" t="s">
        <v>162</v>
      </c>
      <c r="E71" s="174" t="s">
        <v>162</v>
      </c>
      <c r="F71" s="174" t="s">
        <v>226</v>
      </c>
      <c r="G71" s="174" t="s">
        <v>159</v>
      </c>
      <c r="H71" s="174" t="s">
        <v>122</v>
      </c>
      <c r="I71" s="174" t="s">
        <v>162</v>
      </c>
      <c r="J71" s="6"/>
      <c r="K71" s="6"/>
      <c r="L71" s="6"/>
      <c r="M71" s="6"/>
      <c r="N71" s="6"/>
    </row>
    <row r="72" spans="2:14" ht="13.5" hidden="1" thickBot="1">
      <c r="B72" s="6"/>
      <c r="C72" s="174" t="s">
        <v>163</v>
      </c>
      <c r="E72" s="174" t="s">
        <v>226</v>
      </c>
      <c r="F72" s="174" t="s">
        <v>163</v>
      </c>
      <c r="G72" s="174" t="s">
        <v>165</v>
      </c>
      <c r="H72" s="174" t="s">
        <v>159</v>
      </c>
      <c r="I72" s="174" t="s">
        <v>163</v>
      </c>
      <c r="J72" s="6"/>
      <c r="K72" s="6"/>
      <c r="L72" s="6"/>
      <c r="M72" s="6"/>
      <c r="N72" s="6"/>
    </row>
    <row r="73" spans="2:14" ht="13.5" hidden="1" thickBot="1">
      <c r="B73" s="6"/>
      <c r="C73" s="174" t="s">
        <v>122</v>
      </c>
      <c r="E73" s="174" t="s">
        <v>163</v>
      </c>
      <c r="F73" s="174" t="s">
        <v>122</v>
      </c>
      <c r="G73" s="6"/>
      <c r="H73" s="174" t="s">
        <v>13</v>
      </c>
      <c r="I73" s="174" t="s">
        <v>122</v>
      </c>
      <c r="J73" s="6"/>
      <c r="K73" s="6"/>
      <c r="L73" s="6"/>
      <c r="M73" s="6"/>
      <c r="N73" s="6"/>
    </row>
    <row r="74" spans="2:14" ht="13.5" hidden="1" thickBot="1">
      <c r="B74" s="6"/>
      <c r="C74" s="174" t="s">
        <v>159</v>
      </c>
      <c r="E74" s="174" t="s">
        <v>122</v>
      </c>
      <c r="F74" s="174" t="s">
        <v>159</v>
      </c>
      <c r="G74" s="6"/>
      <c r="H74" s="174" t="s">
        <v>17</v>
      </c>
      <c r="I74" s="174" t="s">
        <v>159</v>
      </c>
      <c r="J74" s="6"/>
      <c r="K74" s="6"/>
      <c r="L74" s="6"/>
      <c r="M74" s="6"/>
      <c r="N74" s="6"/>
    </row>
    <row r="75" spans="2:14" ht="13.5" hidden="1" thickBot="1">
      <c r="B75" s="6"/>
      <c r="C75" s="174" t="s">
        <v>13</v>
      </c>
      <c r="E75" s="174" t="s">
        <v>159</v>
      </c>
      <c r="F75" s="174" t="s">
        <v>13</v>
      </c>
      <c r="G75" s="6"/>
      <c r="H75" s="174" t="s">
        <v>149</v>
      </c>
      <c r="I75" s="174" t="s">
        <v>13</v>
      </c>
      <c r="J75" s="6"/>
      <c r="K75" s="6"/>
      <c r="L75" s="6"/>
      <c r="M75" s="6"/>
      <c r="N75" s="6"/>
    </row>
    <row r="76" spans="2:14" ht="13.5" hidden="1" thickBot="1">
      <c r="B76" s="6"/>
      <c r="C76" s="174" t="s">
        <v>17</v>
      </c>
      <c r="E76" s="174" t="s">
        <v>13</v>
      </c>
      <c r="F76" s="174" t="s">
        <v>17</v>
      </c>
      <c r="G76" s="6"/>
      <c r="H76" s="174" t="s">
        <v>110</v>
      </c>
      <c r="I76" s="174" t="s">
        <v>17</v>
      </c>
      <c r="J76" s="6"/>
      <c r="K76" s="6"/>
      <c r="L76" s="6"/>
      <c r="M76" s="6"/>
      <c r="N76" s="6"/>
    </row>
    <row r="77" spans="2:14" ht="13.5" hidden="1" thickBot="1">
      <c r="B77" s="6"/>
      <c r="C77" s="174" t="s">
        <v>149</v>
      </c>
      <c r="E77" s="174" t="s">
        <v>17</v>
      </c>
      <c r="F77" s="174" t="s">
        <v>149</v>
      </c>
      <c r="G77" s="6"/>
      <c r="H77" s="174" t="s">
        <v>165</v>
      </c>
      <c r="I77" s="174" t="s">
        <v>149</v>
      </c>
      <c r="J77" s="6"/>
      <c r="K77" s="6"/>
      <c r="L77" s="6"/>
      <c r="M77" s="6"/>
      <c r="N77" s="6"/>
    </row>
    <row r="78" spans="2:14" ht="13.5" hidden="1" thickBot="1">
      <c r="B78" s="6"/>
      <c r="C78" s="174" t="s">
        <v>110</v>
      </c>
      <c r="E78" s="174" t="s">
        <v>149</v>
      </c>
      <c r="F78" s="174" t="s">
        <v>110</v>
      </c>
      <c r="G78" s="6"/>
      <c r="H78" s="174" t="s">
        <v>105</v>
      </c>
      <c r="I78" s="174" t="s">
        <v>110</v>
      </c>
      <c r="J78" s="6"/>
      <c r="K78" s="6"/>
      <c r="L78" s="6"/>
      <c r="M78" s="6"/>
      <c r="N78" s="6"/>
    </row>
    <row r="79" spans="2:14" ht="13.5" hidden="1" thickBot="1">
      <c r="B79" s="6"/>
      <c r="C79" s="174" t="s">
        <v>138</v>
      </c>
      <c r="E79" s="174" t="s">
        <v>110</v>
      </c>
      <c r="F79" s="174" t="s">
        <v>165</v>
      </c>
      <c r="G79" s="6"/>
      <c r="H79" s="6"/>
      <c r="I79" s="174" t="s">
        <v>165</v>
      </c>
      <c r="J79" s="6"/>
      <c r="K79" s="6"/>
      <c r="L79" s="6"/>
      <c r="M79" s="6"/>
      <c r="N79" s="6"/>
    </row>
    <row r="80" spans="2:14" ht="13.5" hidden="1" thickBot="1">
      <c r="B80" s="6"/>
      <c r="C80" s="174" t="s">
        <v>125</v>
      </c>
      <c r="E80" s="174" t="s">
        <v>125</v>
      </c>
      <c r="G80" s="6"/>
      <c r="H80" s="6"/>
      <c r="I80" s="174" t="s">
        <v>105</v>
      </c>
      <c r="J80" s="6"/>
      <c r="K80" s="6"/>
      <c r="L80" s="6"/>
      <c r="M80" s="6"/>
      <c r="N80" s="6"/>
    </row>
    <row r="81" spans="2:14" ht="13.5" hidden="1" thickBot="1">
      <c r="B81" s="6"/>
      <c r="C81" s="174" t="s">
        <v>165</v>
      </c>
      <c r="E81" s="174" t="s">
        <v>165</v>
      </c>
      <c r="G81" s="6"/>
      <c r="H81" s="6"/>
      <c r="I81" s="6"/>
      <c r="J81" s="6"/>
      <c r="K81" s="6"/>
      <c r="L81" s="6"/>
      <c r="M81" s="6"/>
      <c r="N81" s="6"/>
    </row>
    <row r="82" spans="2:14" ht="13.5" hidden="1" thickBot="1">
      <c r="B82" s="6"/>
      <c r="C82" s="174" t="s">
        <v>105</v>
      </c>
      <c r="E82" s="174" t="s">
        <v>105</v>
      </c>
      <c r="G82" s="6"/>
      <c r="H82" s="6"/>
      <c r="I82" s="6"/>
      <c r="J82" s="6"/>
      <c r="K82" s="6"/>
      <c r="L82" s="6"/>
      <c r="M82" s="6"/>
      <c r="N82" s="6"/>
    </row>
    <row r="83" spans="2:14" ht="20.25" hidden="1">
      <c r="B83" s="6"/>
      <c r="C83" s="80"/>
      <c r="G83" s="6"/>
      <c r="H83" s="6"/>
      <c r="I83" s="6"/>
      <c r="J83" s="6"/>
      <c r="K83" s="6"/>
      <c r="L83" s="6"/>
      <c r="M83" s="6"/>
      <c r="N83" s="6"/>
    </row>
    <row r="84" spans="2:14" ht="20.25" hidden="1">
      <c r="B84" s="6"/>
      <c r="C84" s="80" t="e">
        <f>IF(B6=O44,C71:C82,IF(B6=O45,E71:E82,IF(B6=O46,F71:F79,IF(B6=O49,I71:I80,IF(B6=O47,G71:G72,IF(B6=O48,H71:H78,""))))))</f>
        <v>#VALUE!</v>
      </c>
      <c r="G84" s="6"/>
      <c r="H84" s="6"/>
      <c r="I84" s="6"/>
      <c r="J84" s="6"/>
      <c r="K84" s="6"/>
      <c r="L84" s="6"/>
      <c r="M84" s="6"/>
      <c r="N84" s="6"/>
    </row>
    <row r="85" spans="2:14" ht="20.25" hidden="1">
      <c r="B85" s="6"/>
      <c r="C85" s="80"/>
      <c r="G85" s="6"/>
      <c r="H85" s="6"/>
      <c r="I85" s="6"/>
      <c r="J85" s="6"/>
      <c r="K85" s="6"/>
      <c r="L85" s="6"/>
      <c r="M85" s="6"/>
      <c r="N85" s="6"/>
    </row>
    <row r="86" spans="2:14" ht="13.5" hidden="1" thickBot="1">
      <c r="B86" s="6"/>
      <c r="C86" s="175" t="s">
        <v>150</v>
      </c>
      <c r="G86" s="6"/>
      <c r="H86" s="6"/>
      <c r="I86" s="6"/>
      <c r="J86" s="6"/>
      <c r="K86" s="6"/>
      <c r="L86" s="6"/>
      <c r="M86" s="6"/>
      <c r="N86" s="6"/>
    </row>
    <row r="87" spans="2:14" ht="13.5" hidden="1" thickBot="1">
      <c r="B87" s="6"/>
      <c r="C87" s="175" t="s">
        <v>123</v>
      </c>
      <c r="G87" s="6"/>
      <c r="H87" s="6"/>
      <c r="I87" s="6"/>
      <c r="J87" s="6"/>
      <c r="K87" s="6"/>
      <c r="L87" s="6"/>
      <c r="M87" s="6"/>
      <c r="N87" s="6"/>
    </row>
    <row r="88" spans="2:14" ht="15" hidden="1" thickBot="1">
      <c r="B88" s="6"/>
      <c r="C88" s="176"/>
      <c r="G88" s="6"/>
      <c r="H88" s="6"/>
      <c r="I88" s="6"/>
      <c r="J88" s="6"/>
      <c r="K88" s="6"/>
      <c r="L88" s="6"/>
      <c r="M88" s="6"/>
      <c r="N88" s="6"/>
    </row>
    <row r="89" spans="2:14" ht="15" hidden="1" thickBot="1">
      <c r="B89" s="6"/>
      <c r="C89" s="176" t="s">
        <v>129</v>
      </c>
      <c r="G89" s="6"/>
      <c r="H89" s="6"/>
      <c r="I89" s="6"/>
      <c r="J89" s="6"/>
      <c r="K89" s="6"/>
      <c r="L89" s="6"/>
      <c r="M89" s="6"/>
      <c r="N89" s="6"/>
    </row>
    <row r="90" spans="2:14" ht="15" hidden="1" thickBot="1">
      <c r="B90" s="6"/>
      <c r="C90" s="176" t="s">
        <v>131</v>
      </c>
      <c r="G90" s="6"/>
      <c r="H90" s="6"/>
      <c r="I90" s="6"/>
      <c r="J90" s="6"/>
      <c r="K90" s="6"/>
      <c r="L90" s="6"/>
      <c r="M90" s="6"/>
      <c r="N90" s="6"/>
    </row>
    <row r="91" spans="2:14" ht="15" hidden="1" thickBot="1">
      <c r="B91" s="6"/>
      <c r="C91" s="176" t="s">
        <v>130</v>
      </c>
      <c r="G91" s="6"/>
      <c r="H91" s="6"/>
      <c r="I91" s="6"/>
      <c r="J91" s="6"/>
      <c r="K91" s="6"/>
      <c r="L91" s="6"/>
      <c r="M91" s="6"/>
      <c r="N91" s="6"/>
    </row>
    <row r="92" spans="2:14" ht="20.25" hidden="1">
      <c r="B92" s="6"/>
      <c r="C92" s="80"/>
      <c r="G92" s="6"/>
      <c r="H92" s="6"/>
      <c r="I92" s="6"/>
      <c r="J92" s="6"/>
      <c r="K92" s="6"/>
      <c r="L92" s="6"/>
      <c r="M92" s="6"/>
      <c r="N92" s="6"/>
    </row>
    <row r="93" spans="2:14" ht="12.75" hidden="1">
      <c r="B93" s="6"/>
      <c r="G93" s="6"/>
      <c r="H93" s="6"/>
      <c r="I93" s="6"/>
      <c r="J93" s="6"/>
      <c r="K93" s="6"/>
      <c r="L93" s="6"/>
      <c r="M93" s="6"/>
      <c r="N93" s="6"/>
    </row>
    <row r="94" spans="2:14" ht="12.75" hidden="1">
      <c r="B94" s="6"/>
      <c r="G94" s="6"/>
      <c r="H94" s="6"/>
      <c r="I94" s="6"/>
      <c r="J94" s="6"/>
      <c r="K94" s="6"/>
      <c r="L94" s="6"/>
      <c r="M94" s="6"/>
      <c r="N94" s="6"/>
    </row>
    <row r="95" spans="2:14" ht="12.75" hidden="1">
      <c r="B95" s="6"/>
      <c r="G95" s="6"/>
      <c r="H95" s="6"/>
      <c r="I95" s="6"/>
      <c r="J95" s="6"/>
      <c r="K95" s="6"/>
      <c r="L95" s="6"/>
      <c r="M95" s="6"/>
      <c r="N95" s="6"/>
    </row>
    <row r="96" spans="2:14" ht="12.75" hidden="1">
      <c r="B96" s="6"/>
      <c r="G96" s="6"/>
      <c r="H96" s="6"/>
      <c r="I96" s="6"/>
      <c r="J96" s="6"/>
      <c r="K96" s="6"/>
      <c r="L96" s="6"/>
      <c r="M96" s="6"/>
      <c r="N96" s="6"/>
    </row>
    <row r="97" spans="2:14" ht="12.75" hidden="1">
      <c r="B97" s="6"/>
      <c r="G97" s="6"/>
      <c r="H97" s="6"/>
      <c r="I97" s="6"/>
      <c r="J97" s="6"/>
      <c r="K97" s="6"/>
      <c r="L97" s="6"/>
      <c r="M97" s="6"/>
      <c r="N97" s="6"/>
    </row>
    <row r="98" spans="2:14" ht="12.75" hidden="1">
      <c r="B98" s="6"/>
      <c r="C98" s="6" t="s">
        <v>121</v>
      </c>
      <c r="G98" s="6"/>
      <c r="H98" s="6"/>
      <c r="I98" s="6"/>
      <c r="J98" s="6"/>
      <c r="K98" s="6"/>
      <c r="L98" s="6"/>
      <c r="M98" s="6"/>
      <c r="N98" s="6"/>
    </row>
    <row r="99" ht="20.25" hidden="1">
      <c r="C99" s="27">
        <v>8</v>
      </c>
    </row>
    <row r="100" ht="20.25" hidden="1">
      <c r="C100" s="27">
        <v>9</v>
      </c>
    </row>
    <row r="101" ht="20.25" hidden="1">
      <c r="C101" s="27">
        <v>10</v>
      </c>
    </row>
    <row r="102" ht="20.25" hidden="1">
      <c r="C102" s="27">
        <v>11</v>
      </c>
    </row>
    <row r="103" ht="20.25" hidden="1">
      <c r="C103" s="27">
        <v>12</v>
      </c>
    </row>
    <row r="104" ht="21" thickTop="1">
      <c r="C104" s="27"/>
    </row>
    <row r="105" spans="2:14" ht="33" customHeight="1">
      <c r="B105" s="394" t="s">
        <v>127</v>
      </c>
      <c r="C105" s="394"/>
      <c r="D105" s="394"/>
      <c r="E105" s="394"/>
      <c r="F105" s="394"/>
      <c r="G105" s="394"/>
      <c r="H105" s="394"/>
      <c r="I105" s="394"/>
      <c r="J105" s="394"/>
      <c r="K105" s="394"/>
      <c r="L105" s="32"/>
      <c r="M105" s="32"/>
      <c r="N105" s="32"/>
    </row>
    <row r="106" spans="2:14" ht="39" customHeight="1">
      <c r="B106" s="91"/>
      <c r="C106" s="458" t="s">
        <v>198</v>
      </c>
      <c r="D106" s="458"/>
      <c r="E106" s="458"/>
      <c r="F106" s="458"/>
      <c r="G106" s="458"/>
      <c r="H106" s="458"/>
      <c r="I106" s="458"/>
      <c r="J106" s="91"/>
      <c r="K106" s="91"/>
      <c r="L106" s="32"/>
      <c r="M106" s="32"/>
      <c r="N106" s="32"/>
    </row>
    <row r="107" spans="2:14" ht="13.5" customHeight="1" thickBot="1">
      <c r="B107" s="91"/>
      <c r="C107" s="91"/>
      <c r="D107" s="92"/>
      <c r="E107" s="92"/>
      <c r="F107" s="92"/>
      <c r="G107" s="92"/>
      <c r="H107" s="92"/>
      <c r="I107" s="92"/>
      <c r="J107" s="91"/>
      <c r="K107" s="91"/>
      <c r="L107" s="32"/>
      <c r="M107" s="32"/>
      <c r="N107" s="32"/>
    </row>
    <row r="108" spans="2:14" ht="20.25" customHeight="1">
      <c r="B108" s="454" t="s">
        <v>52</v>
      </c>
      <c r="C108" s="455"/>
      <c r="D108" s="371">
        <f>D2</f>
        <v>0</v>
      </c>
      <c r="E108" s="371"/>
      <c r="F108" s="371"/>
      <c r="G108" s="371"/>
      <c r="H108" s="372"/>
      <c r="I108" s="362" t="s">
        <v>54</v>
      </c>
      <c r="J108" s="363"/>
      <c r="K108" s="364"/>
      <c r="M108" s="384"/>
      <c r="N108" s="281"/>
    </row>
    <row r="109" spans="2:14" ht="19.5" customHeight="1" thickBot="1">
      <c r="B109" s="456"/>
      <c r="C109" s="457"/>
      <c r="D109" s="373"/>
      <c r="E109" s="373"/>
      <c r="F109" s="373"/>
      <c r="G109" s="373"/>
      <c r="H109" s="374"/>
      <c r="I109" s="406">
        <f>I3</f>
        <v>0</v>
      </c>
      <c r="J109" s="407"/>
      <c r="K109" s="408"/>
      <c r="L109" s="82"/>
      <c r="M109" s="384"/>
      <c r="N109" s="281"/>
    </row>
    <row r="110" spans="2:14" ht="27.75" customHeight="1" thickBot="1">
      <c r="B110" s="350" t="str">
        <f>IF(M6="A kitöltés megfelelő, nyomtatható a nyilatkozat !","","A NYILATKOZAT KITÖLTÉSE NEM MEGFELELŐ!!!")</f>
        <v>A NYILATKOZAT KITÖLTÉSE NEM MEGFELELŐ!!!</v>
      </c>
      <c r="C110" s="351"/>
      <c r="D110" s="351"/>
      <c r="E110" s="351"/>
      <c r="F110" s="351"/>
      <c r="G110" s="351"/>
      <c r="H110" s="351"/>
      <c r="I110" s="351"/>
      <c r="J110" s="351"/>
      <c r="K110" s="352"/>
      <c r="L110" s="82"/>
      <c r="M110" s="82"/>
      <c r="N110" s="82"/>
    </row>
    <row r="111" spans="2:14" ht="30.75" customHeight="1">
      <c r="B111" s="422" t="s">
        <v>93</v>
      </c>
      <c r="C111" s="423"/>
      <c r="D111" s="423"/>
      <c r="E111" s="423"/>
      <c r="F111" s="423"/>
      <c r="G111" s="423"/>
      <c r="H111" s="424"/>
      <c r="I111" s="93" t="s">
        <v>53</v>
      </c>
      <c r="J111" s="31"/>
      <c r="K111" s="30"/>
      <c r="L111" s="7"/>
      <c r="M111" s="7"/>
      <c r="N111" s="7"/>
    </row>
    <row r="112" spans="2:14" ht="29.25" customHeight="1" thickBot="1">
      <c r="B112" s="399" t="str">
        <f>+B6</f>
        <v>MÁV-START ZRT.</v>
      </c>
      <c r="C112" s="400"/>
      <c r="D112" s="400"/>
      <c r="E112" s="400"/>
      <c r="F112" s="400"/>
      <c r="G112" s="400"/>
      <c r="H112" s="401"/>
      <c r="I112" s="534">
        <f>I6</f>
        <v>0</v>
      </c>
      <c r="J112" s="535"/>
      <c r="K112" s="536"/>
      <c r="L112" s="7"/>
      <c r="M112" s="253"/>
      <c r="N112" s="253"/>
    </row>
    <row r="113" spans="2:14" ht="28.5" customHeight="1">
      <c r="B113" s="425" t="s">
        <v>235</v>
      </c>
      <c r="C113" s="425"/>
      <c r="D113" s="425"/>
      <c r="E113" s="425"/>
      <c r="F113" s="425"/>
      <c r="G113" s="425"/>
      <c r="H113" s="425"/>
      <c r="I113" s="425"/>
      <c r="J113" s="157"/>
      <c r="K113" s="335">
        <f>+O2</f>
        <v>271400</v>
      </c>
      <c r="L113" s="7"/>
      <c r="M113" s="7"/>
      <c r="N113" s="7"/>
    </row>
    <row r="114" spans="2:14" ht="24.75" customHeight="1" thickBot="1">
      <c r="B114" s="405" t="s">
        <v>199</v>
      </c>
      <c r="C114" s="405"/>
      <c r="D114" s="405"/>
      <c r="E114" s="405"/>
      <c r="F114" s="405"/>
      <c r="G114" s="405"/>
      <c r="H114" s="405"/>
      <c r="I114" s="405"/>
      <c r="J114" s="405"/>
      <c r="K114" s="405"/>
      <c r="L114" s="29"/>
      <c r="M114" s="29"/>
      <c r="N114" s="29"/>
    </row>
    <row r="115" spans="2:14" ht="42" customHeight="1">
      <c r="B115" s="537" t="s">
        <v>47</v>
      </c>
      <c r="C115" s="538"/>
      <c r="D115" s="145"/>
      <c r="F115" s="420" t="s">
        <v>43</v>
      </c>
      <c r="G115" s="421"/>
      <c r="H115" s="319" t="s">
        <v>250</v>
      </c>
      <c r="I115" s="146" t="s">
        <v>58</v>
      </c>
      <c r="J115" s="146"/>
      <c r="K115" s="147" t="s">
        <v>251</v>
      </c>
      <c r="L115" s="148"/>
      <c r="M115" s="546" t="s">
        <v>164</v>
      </c>
      <c r="N115" s="294"/>
    </row>
    <row r="116" spans="2:14" ht="15.75">
      <c r="B116" s="522"/>
      <c r="C116" s="523"/>
      <c r="D116" s="203"/>
      <c r="E116" s="203"/>
      <c r="F116" s="202" t="s">
        <v>168</v>
      </c>
      <c r="G116" s="202" t="s">
        <v>169</v>
      </c>
      <c r="H116" s="204"/>
      <c r="I116" s="205"/>
      <c r="J116" s="53"/>
      <c r="K116" s="130" t="s">
        <v>44</v>
      </c>
      <c r="L116" s="54"/>
      <c r="M116" s="547"/>
      <c r="N116" s="294"/>
    </row>
    <row r="117" spans="2:14" ht="40.5" customHeight="1">
      <c r="B117" s="150" t="s">
        <v>1</v>
      </c>
      <c r="C117" s="346" t="s">
        <v>166</v>
      </c>
      <c r="D117" s="347"/>
      <c r="E117" s="348"/>
      <c r="F117" s="168">
        <f aca="true" t="shared" si="4" ref="F117:G120">+F9</f>
        <v>0</v>
      </c>
      <c r="G117" s="168">
        <f t="shared" si="4"/>
        <v>271400</v>
      </c>
      <c r="H117" s="197">
        <f aca="true" t="shared" si="5" ref="H117:I120">H9</f>
        <v>0</v>
      </c>
      <c r="I117" s="24">
        <f t="shared" si="5"/>
        <v>1</v>
      </c>
      <c r="J117" s="20"/>
      <c r="K117" s="125">
        <f>K9</f>
        <v>0</v>
      </c>
      <c r="L117" s="56"/>
      <c r="M117" s="317">
        <f>IF(H117&gt;0,"Az 1. sz. melléklet!","")</f>
      </c>
      <c r="N117" s="292"/>
    </row>
    <row r="118" spans="2:22" ht="40.5" customHeight="1">
      <c r="B118" s="149" t="s">
        <v>2</v>
      </c>
      <c r="C118" s="346" t="s">
        <v>152</v>
      </c>
      <c r="D118" s="347"/>
      <c r="E118" s="348"/>
      <c r="F118" s="168">
        <f t="shared" si="4"/>
        <v>0</v>
      </c>
      <c r="G118" s="168">
        <f t="shared" si="4"/>
        <v>149000</v>
      </c>
      <c r="H118" s="197">
        <f t="shared" si="5"/>
        <v>0</v>
      </c>
      <c r="I118" s="24">
        <f t="shared" si="5"/>
        <v>1</v>
      </c>
      <c r="J118" s="19"/>
      <c r="K118" s="125">
        <f>K10</f>
        <v>0</v>
      </c>
      <c r="L118" s="55"/>
      <c r="M118" s="317">
        <f>IF(H118&gt;0,"A 8. sz. melléklet!","")</f>
      </c>
      <c r="N118" s="158"/>
      <c r="V118" s="164"/>
    </row>
    <row r="119" spans="2:16" ht="40.5" customHeight="1">
      <c r="B119" s="149" t="s">
        <v>3</v>
      </c>
      <c r="C119" s="346" t="s">
        <v>153</v>
      </c>
      <c r="D119" s="347"/>
      <c r="E119" s="348"/>
      <c r="F119" s="168">
        <f t="shared" si="4"/>
        <v>0</v>
      </c>
      <c r="G119" s="168">
        <f t="shared" si="4"/>
        <v>149000</v>
      </c>
      <c r="H119" s="197">
        <f t="shared" si="5"/>
        <v>0</v>
      </c>
      <c r="I119" s="24">
        <f t="shared" si="5"/>
        <v>1</v>
      </c>
      <c r="J119" s="19"/>
      <c r="K119" s="125">
        <f>K11</f>
        <v>0</v>
      </c>
      <c r="L119" s="56"/>
      <c r="M119" s="317">
        <f>IF(H119&gt;0,"A 9. sz. melléklet!","")</f>
      </c>
      <c r="N119" s="158"/>
      <c r="P119" s="6" t="s">
        <v>242</v>
      </c>
    </row>
    <row r="120" spans="2:16" ht="31.5" customHeight="1">
      <c r="B120" s="435" t="s">
        <v>4</v>
      </c>
      <c r="C120" s="437" t="s">
        <v>182</v>
      </c>
      <c r="D120" s="227" t="str">
        <f>+D12</f>
        <v>2019.évben mástól kapott összeg»</v>
      </c>
      <c r="E120" s="177">
        <f>+E12</f>
        <v>0</v>
      </c>
      <c r="F120" s="368">
        <f t="shared" si="4"/>
        <v>0</v>
      </c>
      <c r="G120" s="368">
        <f t="shared" si="4"/>
        <v>201784.3866171004</v>
      </c>
      <c r="H120" s="529">
        <f t="shared" si="5"/>
        <v>0</v>
      </c>
      <c r="I120" s="414">
        <f t="shared" si="5"/>
        <v>1.345</v>
      </c>
      <c r="J120" s="20"/>
      <c r="K120" s="466">
        <f>K12</f>
        <v>0</v>
      </c>
      <c r="L120" s="56"/>
      <c r="M120" s="468">
        <f>IF(H120&gt;0,"A 2.sz. melléklet!","")</f>
      </c>
      <c r="N120" s="293"/>
      <c r="O120" s="195">
        <f>+E120+H120</f>
        <v>0</v>
      </c>
      <c r="P120" s="337" t="str">
        <f>IF(O120&lt;225000,"Van még kedvezményes adózású kerete!","Kedvezményes adózású keret felhasználva")</f>
        <v>Van még kedvezményes adózású kerete!</v>
      </c>
    </row>
    <row r="121" spans="2:16" ht="18" customHeight="1">
      <c r="B121" s="436"/>
      <c r="C121" s="438"/>
      <c r="D121" s="273">
        <f>IF(H12=0,"",IF(AND(D32&lt;43581,W12=1),"MÁJUS","SZEPTEMBER"))</f>
      </c>
      <c r="E121" s="272">
        <f>IF(D121&lt;&gt;"","havi utalással","")</f>
      </c>
      <c r="F121" s="369"/>
      <c r="G121" s="369"/>
      <c r="H121" s="530"/>
      <c r="I121" s="415"/>
      <c r="J121" s="20"/>
      <c r="K121" s="467"/>
      <c r="L121" s="248"/>
      <c r="M121" s="469"/>
      <c r="N121" s="293"/>
      <c r="O121" s="195"/>
      <c r="P121" s="337"/>
    </row>
    <row r="122" spans="2:16" ht="45">
      <c r="B122" s="149" t="s">
        <v>11</v>
      </c>
      <c r="C122" s="316" t="s">
        <v>183</v>
      </c>
      <c r="D122" s="228" t="str">
        <f aca="true" t="shared" si="6" ref="D122:G123">+D14</f>
        <v>2019.évben alanyi juttatás + mástól kapott összeg»</v>
      </c>
      <c r="E122" s="177">
        <f t="shared" si="6"/>
        <v>92900</v>
      </c>
      <c r="F122" s="334">
        <f t="shared" si="6"/>
        <v>0</v>
      </c>
      <c r="G122" s="271">
        <f t="shared" si="6"/>
        <v>57100</v>
      </c>
      <c r="H122" s="198">
        <f>H14</f>
        <v>0</v>
      </c>
      <c r="I122" s="166">
        <f>I14</f>
        <v>1.345</v>
      </c>
      <c r="J122" s="19"/>
      <c r="K122" s="167">
        <f aca="true" t="shared" si="7" ref="K122:K127">K14</f>
        <v>0</v>
      </c>
      <c r="L122" s="57"/>
      <c r="M122" s="336">
        <f>IF(H122&gt;0,"A 2. sz.melléklet!","")</f>
      </c>
      <c r="N122" s="293"/>
      <c r="O122" s="195">
        <f>+E122+H122</f>
        <v>92900</v>
      </c>
      <c r="P122" s="337" t="str">
        <f>IF(O122&lt;150000,"Van még kedvezményes adózású kerete is!","Kedvezményes adózású keret felhasználva")</f>
        <v>Van még kedvezményes adózású kerete is!</v>
      </c>
    </row>
    <row r="123" spans="2:16" ht="40.5" customHeight="1">
      <c r="B123" s="149" t="s">
        <v>5</v>
      </c>
      <c r="C123" s="178" t="s">
        <v>184</v>
      </c>
      <c r="D123" s="249" t="str">
        <f t="shared" si="6"/>
        <v>2019. évben mástól kapott összeg »</v>
      </c>
      <c r="E123" s="250">
        <f t="shared" si="6"/>
        <v>0</v>
      </c>
      <c r="F123" s="168">
        <f t="shared" si="6"/>
        <v>0</v>
      </c>
      <c r="G123" s="168">
        <f t="shared" si="6"/>
        <v>75000</v>
      </c>
      <c r="H123" s="197">
        <f>H15</f>
        <v>0</v>
      </c>
      <c r="I123" s="24">
        <f>I15</f>
        <v>1.345</v>
      </c>
      <c r="J123" s="19"/>
      <c r="K123" s="125">
        <f t="shared" si="7"/>
        <v>0</v>
      </c>
      <c r="L123" s="55"/>
      <c r="M123" s="317">
        <f>IF(H123&gt;0,"A 2. sz. melléklet!","")</f>
      </c>
      <c r="N123" s="292"/>
      <c r="O123" s="195">
        <f>+E123+G123</f>
        <v>75000</v>
      </c>
      <c r="P123" s="337" t="str">
        <f>IF(O123&lt;75000,"Van még kedvezményes adózású kerete is!","Kedvezményes adózású keret felhasználva.")</f>
        <v>Kedvezményes adózású keret felhasználva.</v>
      </c>
    </row>
    <row r="124" spans="2:18" ht="35.25" customHeight="1">
      <c r="B124" s="149" t="s">
        <v>6</v>
      </c>
      <c r="C124" s="178" t="s">
        <v>118</v>
      </c>
      <c r="D124" s="275">
        <f>IF(AND(P16="",H16=0),"",IF(P16&lt;&gt;"","&lt;HIÁNYZIK AZ UTALÁSI HÓNAP&gt;",IF(AND(D32&lt;43581,H16&gt;0),E16,"SZEPTEMBER")))</f>
      </c>
      <c r="E124" s="272">
        <f>IF(AND(P16="",D124&lt;&gt;""),"havi utalással","")</f>
      </c>
      <c r="F124" s="168">
        <f aca="true" t="shared" si="8" ref="F124:H126">+F16</f>
        <v>0</v>
      </c>
      <c r="G124" s="168">
        <f t="shared" si="8"/>
        <v>0</v>
      </c>
      <c r="H124" s="199">
        <f t="shared" si="8"/>
        <v>0</v>
      </c>
      <c r="I124" s="24">
        <f>I16</f>
        <v>1.4071</v>
      </c>
      <c r="J124" s="19"/>
      <c r="K124" s="125">
        <f t="shared" si="7"/>
        <v>0</v>
      </c>
      <c r="L124" s="55"/>
      <c r="M124" s="317">
        <f>IF(H124&gt;0,"A 2. sz. melléklet!","")</f>
      </c>
      <c r="N124" s="292"/>
      <c r="O124" s="9"/>
      <c r="P124" s="196">
        <f>IF(AND(H124&gt;0,O120&lt;225000),"A kedvezményes adózású keret nincs felhasználva!",IF(H126=0,"","Rendben"))</f>
      </c>
      <c r="Q124" s="9"/>
      <c r="R124" s="9"/>
    </row>
    <row r="125" spans="2:18" ht="35.25" customHeight="1">
      <c r="B125" s="150" t="s">
        <v>7</v>
      </c>
      <c r="C125" s="346" t="s">
        <v>133</v>
      </c>
      <c r="D125" s="347"/>
      <c r="E125" s="348"/>
      <c r="F125" s="168">
        <f t="shared" si="8"/>
        <v>0</v>
      </c>
      <c r="G125" s="168">
        <f t="shared" si="8"/>
        <v>0</v>
      </c>
      <c r="H125" s="200">
        <f t="shared" si="8"/>
        <v>0</v>
      </c>
      <c r="I125" s="24">
        <f>I17</f>
        <v>1.4071</v>
      </c>
      <c r="J125" s="20"/>
      <c r="K125" s="125">
        <f t="shared" si="7"/>
        <v>0</v>
      </c>
      <c r="L125" s="56"/>
      <c r="M125" s="317">
        <f>IF(H125&gt;0,"A 2. sz. melléklet!","")</f>
      </c>
      <c r="N125" s="292"/>
      <c r="O125" s="9"/>
      <c r="P125" s="196">
        <f>IF(AND(H125&gt;0,O122&lt;150000),"A kedvezményes adózású keret nincs felhasználva!",IF(H125=0,"","Rendben"))</f>
      </c>
      <c r="Q125" s="9"/>
      <c r="R125" s="9"/>
    </row>
    <row r="126" spans="2:18" ht="40.5" customHeight="1" thickBot="1">
      <c r="B126" s="150" t="s">
        <v>8</v>
      </c>
      <c r="C126" s="346" t="s">
        <v>119</v>
      </c>
      <c r="D126" s="347"/>
      <c r="E126" s="348"/>
      <c r="F126" s="168">
        <f t="shared" si="8"/>
        <v>0</v>
      </c>
      <c r="G126" s="168">
        <f t="shared" si="8"/>
        <v>0</v>
      </c>
      <c r="H126" s="198">
        <f t="shared" si="8"/>
        <v>0</v>
      </c>
      <c r="I126" s="24">
        <f>I18</f>
        <v>1.4071</v>
      </c>
      <c r="J126" s="20"/>
      <c r="K126" s="125">
        <f t="shared" si="7"/>
        <v>0</v>
      </c>
      <c r="L126" s="151"/>
      <c r="M126" s="317">
        <f>IF(H126&gt;0,"A 2. sz. melléklet!","")</f>
      </c>
      <c r="N126" s="292"/>
      <c r="O126" s="9"/>
      <c r="P126" s="196">
        <f>IF(AND(H126&gt;0,O123&lt;75000),"A kedvezményes adózású keret nincs felhasználva!",IF(H126=0,"","Rendben"))</f>
      </c>
      <c r="Q126" s="9"/>
      <c r="R126" s="9"/>
    </row>
    <row r="127" spans="2:18" ht="20.25" customHeight="1">
      <c r="B127" s="435" t="s">
        <v>9</v>
      </c>
      <c r="C127" s="531" t="s">
        <v>239</v>
      </c>
      <c r="D127" s="532"/>
      <c r="E127" s="533"/>
      <c r="F127" s="368">
        <f>+F19</f>
        <v>0</v>
      </c>
      <c r="G127" s="426">
        <f>+G19</f>
        <v>224298</v>
      </c>
      <c r="H127" s="433">
        <f>H19</f>
        <v>0</v>
      </c>
      <c r="I127" s="414">
        <f>+I19</f>
        <v>1.21</v>
      </c>
      <c r="J127" s="20"/>
      <c r="K127" s="466">
        <f t="shared" si="7"/>
        <v>0</v>
      </c>
      <c r="L127" s="56"/>
      <c r="M127" s="473"/>
      <c r="N127" s="571" t="s">
        <v>252</v>
      </c>
      <c r="R127" s="155"/>
    </row>
    <row r="128" spans="2:14" ht="20.25" customHeight="1" thickBot="1">
      <c r="B128" s="436"/>
      <c r="C128" s="515">
        <f>IF(H127&gt;0,D21,"")</f>
      </c>
      <c r="D128" s="516"/>
      <c r="E128" s="517"/>
      <c r="F128" s="369"/>
      <c r="G128" s="427"/>
      <c r="H128" s="434"/>
      <c r="I128" s="415"/>
      <c r="J128" s="21"/>
      <c r="K128" s="467"/>
      <c r="L128" s="57"/>
      <c r="M128" s="473"/>
      <c r="N128" s="572"/>
    </row>
    <row r="129" spans="2:14" ht="19.5" customHeight="1" thickTop="1">
      <c r="B129" s="435" t="s">
        <v>10</v>
      </c>
      <c r="C129" s="525" t="s">
        <v>240</v>
      </c>
      <c r="D129" s="526"/>
      <c r="E129" s="527"/>
      <c r="F129" s="368">
        <f>+F22</f>
        <v>0</v>
      </c>
      <c r="G129" s="426">
        <f>+G22</f>
        <v>224298</v>
      </c>
      <c r="H129" s="433">
        <f>H22</f>
        <v>0</v>
      </c>
      <c r="I129" s="414">
        <f>+I22</f>
        <v>1.21</v>
      </c>
      <c r="J129" s="20"/>
      <c r="K129" s="466">
        <f>K22</f>
        <v>0</v>
      </c>
      <c r="L129" s="56"/>
      <c r="M129" s="473"/>
      <c r="N129" s="572"/>
    </row>
    <row r="130" spans="2:14" ht="19.5" customHeight="1">
      <c r="B130" s="436"/>
      <c r="C130" s="428">
        <f>IF(H129&gt;0,+D24,"")</f>
      </c>
      <c r="D130" s="429"/>
      <c r="E130" s="430"/>
      <c r="F130" s="369"/>
      <c r="G130" s="427"/>
      <c r="H130" s="434"/>
      <c r="I130" s="415"/>
      <c r="J130" s="21"/>
      <c r="K130" s="467"/>
      <c r="L130" s="57"/>
      <c r="M130" s="473"/>
      <c r="N130" s="572"/>
    </row>
    <row r="131" spans="2:18" ht="40.5" customHeight="1">
      <c r="B131" s="150" t="s">
        <v>134</v>
      </c>
      <c r="C131" s="346" t="s">
        <v>260</v>
      </c>
      <c r="D131" s="347"/>
      <c r="E131" s="348"/>
      <c r="F131" s="168">
        <f aca="true" t="shared" si="9" ref="F131:I136">+F25</f>
        <v>0</v>
      </c>
      <c r="G131" s="168">
        <f t="shared" si="9"/>
        <v>224298</v>
      </c>
      <c r="H131" s="200">
        <f t="shared" si="9"/>
        <v>0</v>
      </c>
      <c r="I131" s="166">
        <f t="shared" si="9"/>
        <v>1.21</v>
      </c>
      <c r="J131" s="20"/>
      <c r="K131" s="167">
        <f>K25</f>
        <v>0</v>
      </c>
      <c r="L131" s="56"/>
      <c r="M131" s="317"/>
      <c r="N131" s="572"/>
      <c r="O131" s="9"/>
      <c r="P131" s="196"/>
      <c r="Q131" s="9"/>
      <c r="R131" s="9"/>
    </row>
    <row r="132" spans="2:18" ht="40.5" customHeight="1">
      <c r="B132" s="150" t="s">
        <v>23</v>
      </c>
      <c r="C132" s="346" t="s">
        <v>261</v>
      </c>
      <c r="D132" s="347"/>
      <c r="E132" s="348"/>
      <c r="F132" s="168">
        <f t="shared" si="9"/>
        <v>100000</v>
      </c>
      <c r="G132" s="168">
        <f t="shared" si="9"/>
        <v>224297.52066115703</v>
      </c>
      <c r="H132" s="200">
        <f t="shared" si="9"/>
        <v>0</v>
      </c>
      <c r="I132" s="166">
        <f t="shared" si="9"/>
        <v>1.21</v>
      </c>
      <c r="J132" s="20"/>
      <c r="K132" s="167">
        <f>K26</f>
        <v>0</v>
      </c>
      <c r="L132" s="56"/>
      <c r="M132" s="317">
        <f>IF(H132&gt;0,"Az 5. sz. melléklet!","")</f>
      </c>
      <c r="N132" s="572"/>
      <c r="O132" s="9"/>
      <c r="P132" s="196"/>
      <c r="Q132" s="9"/>
      <c r="R132" s="9"/>
    </row>
    <row r="133" spans="2:14" ht="40.5" customHeight="1">
      <c r="B133" s="150" t="s">
        <v>173</v>
      </c>
      <c r="C133" s="346" t="s">
        <v>262</v>
      </c>
      <c r="D133" s="347"/>
      <c r="E133" s="348"/>
      <c r="F133" s="168">
        <f t="shared" si="9"/>
        <v>0</v>
      </c>
      <c r="G133" s="168">
        <f t="shared" si="9"/>
        <v>224298</v>
      </c>
      <c r="H133" s="200">
        <f t="shared" si="9"/>
        <v>0</v>
      </c>
      <c r="I133" s="166">
        <f t="shared" si="9"/>
        <v>1.21</v>
      </c>
      <c r="J133" s="20"/>
      <c r="K133" s="167">
        <f>K27</f>
        <v>0</v>
      </c>
      <c r="L133" s="56"/>
      <c r="M133" s="317">
        <f>IF(H133&gt;0,"A 6.sz. melléklet!","")</f>
      </c>
      <c r="N133" s="572"/>
    </row>
    <row r="134" spans="2:14" ht="40.5" customHeight="1">
      <c r="B134" s="150" t="s">
        <v>174</v>
      </c>
      <c r="C134" s="346" t="s">
        <v>263</v>
      </c>
      <c r="D134" s="347"/>
      <c r="E134" s="348"/>
      <c r="F134" s="168">
        <f t="shared" si="9"/>
        <v>0</v>
      </c>
      <c r="G134" s="168">
        <f t="shared" si="9"/>
        <v>224298</v>
      </c>
      <c r="H134" s="200">
        <f t="shared" si="9"/>
        <v>0</v>
      </c>
      <c r="I134" s="166">
        <f t="shared" si="9"/>
        <v>1.21</v>
      </c>
      <c r="J134" s="20"/>
      <c r="K134" s="167">
        <f>K28</f>
        <v>0</v>
      </c>
      <c r="L134" s="56"/>
      <c r="M134" s="317">
        <f>IF(H134&gt;0,"A 7. sz. melléklet!","")</f>
      </c>
      <c r="N134" s="572"/>
    </row>
    <row r="135" spans="2:14" ht="36" customHeight="1" thickBot="1">
      <c r="B135" s="149" t="s">
        <v>177</v>
      </c>
      <c r="C135" s="439" t="s">
        <v>264</v>
      </c>
      <c r="D135" s="440"/>
      <c r="E135" s="441"/>
      <c r="F135" s="168">
        <f t="shared" si="9"/>
        <v>0</v>
      </c>
      <c r="G135" s="168">
        <f t="shared" si="9"/>
        <v>224298</v>
      </c>
      <c r="H135" s="200">
        <f t="shared" si="9"/>
        <v>0</v>
      </c>
      <c r="I135" s="166">
        <f t="shared" si="9"/>
        <v>1.21</v>
      </c>
      <c r="J135" s="19"/>
      <c r="K135" s="167">
        <f>K29</f>
        <v>0</v>
      </c>
      <c r="L135" s="55"/>
      <c r="M135" s="317"/>
      <c r="N135" s="573"/>
    </row>
    <row r="136" spans="2:14" ht="66" customHeight="1" hidden="1" thickBot="1">
      <c r="B136" s="189" t="s">
        <v>194</v>
      </c>
      <c r="C136" s="540" t="s">
        <v>185</v>
      </c>
      <c r="D136" s="541"/>
      <c r="E136" s="542"/>
      <c r="F136" s="190">
        <f t="shared" si="9"/>
        <v>0</v>
      </c>
      <c r="G136" s="191">
        <f t="shared" si="9"/>
        <v>224298</v>
      </c>
      <c r="H136" s="201">
        <f t="shared" si="9"/>
        <v>0</v>
      </c>
      <c r="I136" s="192">
        <f t="shared" si="9"/>
        <v>1.21</v>
      </c>
      <c r="J136" s="193"/>
      <c r="K136" s="194">
        <f>+K30</f>
        <v>0</v>
      </c>
      <c r="L136" s="188"/>
      <c r="M136" s="158"/>
      <c r="N136" s="158"/>
    </row>
    <row r="137" spans="2:12" ht="54.75" customHeight="1" thickBot="1">
      <c r="B137" s="266"/>
      <c r="C137" s="220" t="s">
        <v>156</v>
      </c>
      <c r="D137" s="320" t="str">
        <f>IF(AND(H6="",C31=""),"Nincs megjelölve és nincs VBKJ SZÉP juttatás igény",IF(C31&lt;&gt;"","HIÁNYZIK A KÉRT VBKJ SZÉP JUTTATÁSHOZ!",H6))</f>
        <v>Nincs megjelölve és nincs VBKJ SZÉP juttatás igény</v>
      </c>
      <c r="E137" s="416" t="s">
        <v>49</v>
      </c>
      <c r="F137" s="417"/>
      <c r="G137" s="418"/>
      <c r="H137" s="431" t="s">
        <v>48</v>
      </c>
      <c r="I137" s="432"/>
      <c r="J137" s="218"/>
      <c r="K137" s="219">
        <f>IF(K31&gt;271400,"Túllépte a bruttó keretet!",+K31)</f>
        <v>0</v>
      </c>
      <c r="L137" s="144"/>
    </row>
    <row r="138" spans="2:12" ht="24.75" customHeight="1" thickBot="1">
      <c r="B138" s="267"/>
      <c r="C138" s="220" t="s">
        <v>238</v>
      </c>
      <c r="D138" s="270">
        <f>F6</f>
        <v>450000</v>
      </c>
      <c r="E138" s="264" t="s">
        <v>236</v>
      </c>
      <c r="F138" s="265">
        <f>F5</f>
        <v>8</v>
      </c>
      <c r="G138" s="221" t="s">
        <v>237</v>
      </c>
      <c r="H138" s="265">
        <f>G6</f>
        <v>365</v>
      </c>
      <c r="I138" s="222"/>
      <c r="J138" s="268"/>
      <c r="K138" s="269"/>
      <c r="L138" s="217"/>
    </row>
    <row r="139" spans="2:14" s="10" customFormat="1" ht="33.75" customHeight="1">
      <c r="B139" s="123"/>
      <c r="C139" s="539" t="s">
        <v>188</v>
      </c>
      <c r="D139" s="539"/>
      <c r="E139" s="539"/>
      <c r="F139" s="539"/>
      <c r="G139" s="539"/>
      <c r="H139" s="539"/>
      <c r="I139" s="539"/>
      <c r="J139" s="539"/>
      <c r="K139" s="539"/>
      <c r="L139" s="124"/>
      <c r="M139" s="14"/>
      <c r="N139" s="14"/>
    </row>
    <row r="140" spans="2:14" ht="63" customHeight="1">
      <c r="B140" s="419" t="s">
        <v>247</v>
      </c>
      <c r="C140" s="419"/>
      <c r="D140" s="419"/>
      <c r="E140" s="419"/>
      <c r="F140" s="419"/>
      <c r="G140" s="419"/>
      <c r="H140" s="419"/>
      <c r="I140" s="419"/>
      <c r="J140" s="419"/>
      <c r="K140" s="419"/>
      <c r="L140" s="10"/>
      <c r="M140" s="10"/>
      <c r="N140" s="10"/>
    </row>
    <row r="141" spans="2:14" ht="19.5" customHeight="1">
      <c r="B141" s="342" t="s">
        <v>259</v>
      </c>
      <c r="C141" s="339"/>
      <c r="D141" s="339"/>
      <c r="E141" s="339"/>
      <c r="F141" s="339"/>
      <c r="G141" s="339"/>
      <c r="H141" s="339"/>
      <c r="I141" s="339"/>
      <c r="J141" s="339"/>
      <c r="K141" s="339"/>
      <c r="L141" s="10"/>
      <c r="M141" s="10"/>
      <c r="N141" s="10"/>
    </row>
    <row r="142" spans="2:14" ht="23.25" customHeight="1">
      <c r="B142" s="524" t="s">
        <v>246</v>
      </c>
      <c r="C142" s="524"/>
      <c r="D142" s="524"/>
      <c r="E142" s="524"/>
      <c r="F142" s="524"/>
      <c r="G142" s="524"/>
      <c r="H142" s="524"/>
      <c r="I142" s="524"/>
      <c r="J142" s="524"/>
      <c r="K142" s="524"/>
      <c r="L142" s="524"/>
      <c r="M142" s="524"/>
      <c r="N142" s="279"/>
    </row>
    <row r="143" spans="2:14" ht="15" customHeight="1">
      <c r="B143" s="528" t="s">
        <v>187</v>
      </c>
      <c r="C143" s="528"/>
      <c r="D143" s="528"/>
      <c r="E143" s="528"/>
      <c r="F143" s="528"/>
      <c r="G143" s="528"/>
      <c r="H143" s="528"/>
      <c r="I143" s="528"/>
      <c r="J143" s="528"/>
      <c r="K143" s="528"/>
      <c r="L143" s="313"/>
      <c r="M143" s="314"/>
      <c r="N143" s="15"/>
    </row>
    <row r="144" spans="2:14" ht="18">
      <c r="B144" s="514" t="s">
        <v>167</v>
      </c>
      <c r="C144" s="514"/>
      <c r="D144" s="514"/>
      <c r="E144" s="514"/>
      <c r="F144" s="514"/>
      <c r="G144" s="514"/>
      <c r="H144" s="514"/>
      <c r="I144" s="514"/>
      <c r="J144" s="514"/>
      <c r="K144" s="514"/>
      <c r="L144" s="315"/>
      <c r="M144" s="315"/>
      <c r="N144" s="18"/>
    </row>
    <row r="145" spans="2:14" ht="46.5" customHeight="1">
      <c r="B145" s="524">
        <f>IF(OR(D137="HIÁNYZIK A KÉRT VBKJ SZÉP JUTTATÁSHOZ!",D137="nincs szerződésem"),"Kijelentem, hogy a SZÉP Kártya juttatás választott elemeinek folyósításához szükséges szerződést a pénztárszolgáltatóval legkésőbb 2019. március 14-ig megkötöm.","")</f>
      </c>
      <c r="C145" s="524"/>
      <c r="D145" s="524"/>
      <c r="E145" s="524"/>
      <c r="F145" s="524"/>
      <c r="G145" s="524"/>
      <c r="H145" s="524"/>
      <c r="I145" s="524"/>
      <c r="J145" s="524"/>
      <c r="K145" s="524"/>
      <c r="L145" s="524"/>
      <c r="M145" s="524"/>
      <c r="N145" s="279"/>
    </row>
    <row r="146" spans="2:14" ht="33.75" customHeight="1">
      <c r="B146" s="412" t="s">
        <v>120</v>
      </c>
      <c r="C146" s="412"/>
      <c r="D146" s="16"/>
      <c r="E146" s="16"/>
      <c r="F146" s="16"/>
      <c r="G146" s="16"/>
      <c r="H146" s="16"/>
      <c r="I146" s="16"/>
      <c r="J146" s="16"/>
      <c r="K146" s="16"/>
      <c r="L146" s="15"/>
      <c r="M146" s="15"/>
      <c r="N146" s="15"/>
    </row>
    <row r="147" spans="2:14" ht="21" customHeight="1">
      <c r="B147" s="98"/>
      <c r="C147" s="340">
        <f>IF(C32&lt;&gt;"",C32,"")</f>
      </c>
      <c r="D147" s="100">
        <f>D32</f>
        <v>43518</v>
      </c>
      <c r="E147" s="413"/>
      <c r="F147" s="413"/>
      <c r="G147" s="152"/>
      <c r="H147" s="26"/>
      <c r="I147" s="26"/>
      <c r="J147" s="26"/>
      <c r="K147" s="26"/>
      <c r="L147" s="16"/>
      <c r="M147" s="79"/>
      <c r="N147" s="79"/>
    </row>
    <row r="148" spans="2:12" ht="15.75">
      <c r="B148" s="119"/>
      <c r="C148" s="120" t="s">
        <v>50</v>
      </c>
      <c r="D148" s="120" t="s">
        <v>51</v>
      </c>
      <c r="E148" s="119"/>
      <c r="F148" s="521" t="s">
        <v>128</v>
      </c>
      <c r="G148" s="521"/>
      <c r="H148" s="521"/>
      <c r="I148" s="121"/>
      <c r="J148" s="119"/>
      <c r="K148" s="120" t="s">
        <v>93</v>
      </c>
      <c r="L148" s="14"/>
    </row>
    <row r="149" spans="2:14" s="122" customFormat="1" ht="70.5" customHeight="1">
      <c r="B149" s="404" t="s">
        <v>186</v>
      </c>
      <c r="C149" s="404"/>
      <c r="D149" s="404"/>
      <c r="E149" s="404"/>
      <c r="F149" s="404"/>
      <c r="G149" s="404"/>
      <c r="H149" s="404"/>
      <c r="I149" s="404"/>
      <c r="J149" s="404"/>
      <c r="K149" s="404"/>
      <c r="L149" s="404"/>
      <c r="M149" s="404"/>
      <c r="N149" s="280"/>
    </row>
    <row r="150" spans="12:16" ht="69" customHeight="1">
      <c r="L150" s="118"/>
      <c r="M150" s="118"/>
      <c r="N150" s="118"/>
      <c r="O150" s="118"/>
      <c r="P150" s="118"/>
    </row>
    <row r="151" ht="30.75" customHeight="1"/>
  </sheetData>
  <sheetProtection password="94EE" sheet="1"/>
  <mergeCells count="161">
    <mergeCell ref="B8:C8"/>
    <mergeCell ref="F19:F21"/>
    <mergeCell ref="H19:H21"/>
    <mergeCell ref="C16:D16"/>
    <mergeCell ref="M19:M21"/>
    <mergeCell ref="M5:P5"/>
    <mergeCell ref="M6:P6"/>
    <mergeCell ref="G22:G24"/>
    <mergeCell ref="H12:H13"/>
    <mergeCell ref="I19:I21"/>
    <mergeCell ref="M4:N4"/>
    <mergeCell ref="N7:P7"/>
    <mergeCell ref="N19:O19"/>
    <mergeCell ref="N20:O20"/>
    <mergeCell ref="C17:E17"/>
    <mergeCell ref="K22:K24"/>
    <mergeCell ref="N22:O22"/>
    <mergeCell ref="N17:P17"/>
    <mergeCell ref="C29:E29"/>
    <mergeCell ref="N27:O27"/>
    <mergeCell ref="N28:O28"/>
    <mergeCell ref="D21:E21"/>
    <mergeCell ref="G19:G21"/>
    <mergeCell ref="N25:O25"/>
    <mergeCell ref="C11:E11"/>
    <mergeCell ref="B38:P38"/>
    <mergeCell ref="M115:M116"/>
    <mergeCell ref="I22:I24"/>
    <mergeCell ref="H22:H24"/>
    <mergeCell ref="C28:E28"/>
    <mergeCell ref="O12:P13"/>
    <mergeCell ref="N18:P18"/>
    <mergeCell ref="N23:O23"/>
    <mergeCell ref="B36:P36"/>
    <mergeCell ref="B145:M145"/>
    <mergeCell ref="H120:H121"/>
    <mergeCell ref="I120:I121"/>
    <mergeCell ref="C127:E127"/>
    <mergeCell ref="G127:G128"/>
    <mergeCell ref="I112:K112"/>
    <mergeCell ref="B115:C115"/>
    <mergeCell ref="C126:E126"/>
    <mergeCell ref="C139:K139"/>
    <mergeCell ref="C136:E136"/>
    <mergeCell ref="F148:H148"/>
    <mergeCell ref="H127:H128"/>
    <mergeCell ref="B116:C116"/>
    <mergeCell ref="B142:M142"/>
    <mergeCell ref="B129:B130"/>
    <mergeCell ref="K129:K130"/>
    <mergeCell ref="C129:E129"/>
    <mergeCell ref="B143:K143"/>
    <mergeCell ref="C134:E134"/>
    <mergeCell ref="B120:B121"/>
    <mergeCell ref="B2:C2"/>
    <mergeCell ref="M12:M13"/>
    <mergeCell ref="I5:K5"/>
    <mergeCell ref="K12:K13"/>
    <mergeCell ref="C10:E10"/>
    <mergeCell ref="B144:K144"/>
    <mergeCell ref="C25:E25"/>
    <mergeCell ref="M129:M130"/>
    <mergeCell ref="C128:E128"/>
    <mergeCell ref="B35:P35"/>
    <mergeCell ref="D2:H3"/>
    <mergeCell ref="M3:N3"/>
    <mergeCell ref="M2:N2"/>
    <mergeCell ref="I3:K3"/>
    <mergeCell ref="I2:K2"/>
    <mergeCell ref="R18:S18"/>
    <mergeCell ref="R17:S17"/>
    <mergeCell ref="N16:O16"/>
    <mergeCell ref="F12:F13"/>
    <mergeCell ref="G12:G13"/>
    <mergeCell ref="I6:K6"/>
    <mergeCell ref="Q11:T11"/>
    <mergeCell ref="O10:P10"/>
    <mergeCell ref="I12:I13"/>
    <mergeCell ref="T12:V15"/>
    <mergeCell ref="O15:P15"/>
    <mergeCell ref="O14:P14"/>
    <mergeCell ref="R14:S14"/>
    <mergeCell ref="R15:S15"/>
    <mergeCell ref="R16:S16"/>
    <mergeCell ref="K127:K128"/>
    <mergeCell ref="M120:M121"/>
    <mergeCell ref="N21:P21"/>
    <mergeCell ref="M22:M24"/>
    <mergeCell ref="M127:M128"/>
    <mergeCell ref="K120:K121"/>
    <mergeCell ref="N26:O26"/>
    <mergeCell ref="K19:K21"/>
    <mergeCell ref="N127:N135"/>
    <mergeCell ref="F7:G7"/>
    <mergeCell ref="B5:D5"/>
    <mergeCell ref="B6:D6"/>
    <mergeCell ref="C9:E9"/>
    <mergeCell ref="H31:I31"/>
    <mergeCell ref="B108:C109"/>
    <mergeCell ref="C106:I106"/>
    <mergeCell ref="C18:E18"/>
    <mergeCell ref="B7:E7"/>
    <mergeCell ref="C27:E27"/>
    <mergeCell ref="H137:I137"/>
    <mergeCell ref="H129:H130"/>
    <mergeCell ref="B127:B128"/>
    <mergeCell ref="C120:C121"/>
    <mergeCell ref="C132:E132"/>
    <mergeCell ref="C131:E131"/>
    <mergeCell ref="F127:F128"/>
    <mergeCell ref="C135:E135"/>
    <mergeCell ref="C125:E125"/>
    <mergeCell ref="B113:I113"/>
    <mergeCell ref="I129:I130"/>
    <mergeCell ref="C118:E118"/>
    <mergeCell ref="C119:E119"/>
    <mergeCell ref="F120:F121"/>
    <mergeCell ref="G120:G121"/>
    <mergeCell ref="C117:E117"/>
    <mergeCell ref="G129:G130"/>
    <mergeCell ref="C130:E130"/>
    <mergeCell ref="B149:M149"/>
    <mergeCell ref="B114:K114"/>
    <mergeCell ref="I109:K109"/>
    <mergeCell ref="M31:P31"/>
    <mergeCell ref="B146:C146"/>
    <mergeCell ref="E147:F147"/>
    <mergeCell ref="I127:I128"/>
    <mergeCell ref="E137:G137"/>
    <mergeCell ref="B140:K140"/>
    <mergeCell ref="F115:G115"/>
    <mergeCell ref="D24:E24"/>
    <mergeCell ref="C31:G31"/>
    <mergeCell ref="B105:K105"/>
    <mergeCell ref="E32:F32"/>
    <mergeCell ref="B37:P37"/>
    <mergeCell ref="B112:H112"/>
    <mergeCell ref="N29:O29"/>
    <mergeCell ref="B111:H111"/>
    <mergeCell ref="C30:E30"/>
    <mergeCell ref="F22:F24"/>
    <mergeCell ref="Q1:S1"/>
    <mergeCell ref="D108:H109"/>
    <mergeCell ref="C26:E26"/>
    <mergeCell ref="C19:E20"/>
    <mergeCell ref="C22:E23"/>
    <mergeCell ref="M108:M109"/>
    <mergeCell ref="O11:P11"/>
    <mergeCell ref="A1:M1"/>
    <mergeCell ref="Q12:Q13"/>
    <mergeCell ref="C4:K4"/>
    <mergeCell ref="C133:E133"/>
    <mergeCell ref="B19:B21"/>
    <mergeCell ref="B110:K110"/>
    <mergeCell ref="N24:P24"/>
    <mergeCell ref="O9:P9"/>
    <mergeCell ref="R12:S13"/>
    <mergeCell ref="B22:B24"/>
    <mergeCell ref="I108:K108"/>
    <mergeCell ref="B39:P39"/>
    <mergeCell ref="F129:F130"/>
  </mergeCells>
  <conditionalFormatting sqref="K129:L129 L22:L23 L19:L20 K14:K15 K25:L25 L132 K126:L127 K136:L136 K117:L118 L119:L121 L123:L125 L134:L135 L13 K9:L12 L27:L28">
    <cfRule type="cellIs" priority="41" dxfId="4" operator="equal" stopIfTrue="1">
      <formula>"A beírt összeg rossz!"</formula>
    </cfRule>
  </conditionalFormatting>
  <conditionalFormatting sqref="N22 N19 O10:O12">
    <cfRule type="cellIs" priority="42" dxfId="1" operator="equal" stopIfTrue="1">
      <formula>"""Rossz összegeg írt be!"</formula>
    </cfRule>
  </conditionalFormatting>
  <conditionalFormatting sqref="K19:K20">
    <cfRule type="cellIs" priority="27" dxfId="4" operator="equal" stopIfTrue="1">
      <formula>"A beírt összeg rossz!"</formula>
    </cfRule>
  </conditionalFormatting>
  <conditionalFormatting sqref="K29">
    <cfRule type="cellIs" priority="25" dxfId="4" operator="equal" stopIfTrue="1">
      <formula>"A beírt összeg rossz!"</formula>
    </cfRule>
  </conditionalFormatting>
  <conditionalFormatting sqref="K16">
    <cfRule type="cellIs" priority="24" dxfId="4" operator="equal" stopIfTrue="1">
      <formula>"A beírt összeg rossz!"</formula>
    </cfRule>
  </conditionalFormatting>
  <conditionalFormatting sqref="K17">
    <cfRule type="cellIs" priority="17" dxfId="4" operator="equal" stopIfTrue="1">
      <formula>"A beírt összeg rossz!"</formula>
    </cfRule>
  </conditionalFormatting>
  <conditionalFormatting sqref="K30">
    <cfRule type="cellIs" priority="22" dxfId="4" operator="equal" stopIfTrue="1">
      <formula>"A beírt összeg rossz!"</formula>
    </cfRule>
  </conditionalFormatting>
  <conditionalFormatting sqref="K18">
    <cfRule type="cellIs" priority="16" dxfId="4" operator="equal" stopIfTrue="1">
      <formula>"A beírt összeg rossz!"</formula>
    </cfRule>
  </conditionalFormatting>
  <conditionalFormatting sqref="K22:K23">
    <cfRule type="cellIs" priority="15" dxfId="4" operator="equal" stopIfTrue="1">
      <formula>"A beírt összeg rossz!"</formula>
    </cfRule>
  </conditionalFormatting>
  <conditionalFormatting sqref="K26:L26">
    <cfRule type="cellIs" priority="13" dxfId="4" operator="equal" stopIfTrue="1">
      <formula>"A beírt összeg rossz!"</formula>
    </cfRule>
  </conditionalFormatting>
  <conditionalFormatting sqref="L133">
    <cfRule type="cellIs" priority="12" dxfId="4" operator="equal" stopIfTrue="1">
      <formula>"A beírt összeg rossz!"</formula>
    </cfRule>
  </conditionalFormatting>
  <conditionalFormatting sqref="K131:L131">
    <cfRule type="cellIs" priority="11" dxfId="4" operator="equal" stopIfTrue="1">
      <formula>"A beírt összeg rossz!"</formula>
    </cfRule>
  </conditionalFormatting>
  <conditionalFormatting sqref="K119:K120 K122:K123">
    <cfRule type="cellIs" priority="10" dxfId="4" operator="equal" stopIfTrue="1">
      <formula>"A beírt összeg rossz!"</formula>
    </cfRule>
  </conditionalFormatting>
  <conditionalFormatting sqref="K124">
    <cfRule type="cellIs" priority="9" dxfId="4" operator="equal" stopIfTrue="1">
      <formula>"A beírt összeg rossz!"</formula>
    </cfRule>
  </conditionalFormatting>
  <conditionalFormatting sqref="K125:K126">
    <cfRule type="cellIs" priority="8" dxfId="4" operator="equal" stopIfTrue="1">
      <formula>"A beírt összeg rossz!"</formula>
    </cfRule>
  </conditionalFormatting>
  <conditionalFormatting sqref="K132">
    <cfRule type="cellIs" priority="7" dxfId="4" operator="equal" stopIfTrue="1">
      <formula>"A beírt összeg rossz!"</formula>
    </cfRule>
  </conditionalFormatting>
  <conditionalFormatting sqref="K133">
    <cfRule type="cellIs" priority="6" dxfId="4" operator="equal" stopIfTrue="1">
      <formula>"A beírt összeg rossz!"</formula>
    </cfRule>
  </conditionalFormatting>
  <conditionalFormatting sqref="K134">
    <cfRule type="cellIs" priority="5" dxfId="4" operator="equal" stopIfTrue="1">
      <formula>"A beírt összeg rossz!"</formula>
    </cfRule>
  </conditionalFormatting>
  <conditionalFormatting sqref="K135">
    <cfRule type="cellIs" priority="4" dxfId="4" operator="equal" stopIfTrue="1">
      <formula>"A beírt összeg rossz!"</formula>
    </cfRule>
  </conditionalFormatting>
  <conditionalFormatting sqref="O9">
    <cfRule type="cellIs" priority="3" dxfId="1" operator="equal" stopIfTrue="1">
      <formula>"""Rossz összegeg írt be!"</formula>
    </cfRule>
  </conditionalFormatting>
  <conditionalFormatting sqref="K28">
    <cfRule type="cellIs" priority="2" dxfId="4" operator="equal" stopIfTrue="1">
      <formula>"A beírt összeg rossz!"</formula>
    </cfRule>
  </conditionalFormatting>
  <conditionalFormatting sqref="K27">
    <cfRule type="cellIs" priority="1" dxfId="4" operator="equal" stopIfTrue="1">
      <formula>"A beírt összeg rossz!"</formula>
    </cfRule>
  </conditionalFormatting>
  <dataValidations count="37">
    <dataValidation allowBlank="1" showInputMessage="1" showErrorMessage="1" sqref="C130"/>
    <dataValidation type="whole" operator="lessThan" allowBlank="1" showInputMessage="1" showErrorMessage="1" promptTitle="TÖRZSSZÁM" prompt="Kérem írja be a törzsszámát!&#10;A törzsszám a havi bérfizetési jegyzék felső jobb részén is megtalálható!" error="Kérem írja be törzsszámát!&#10;A törzsszám legfeljebb 8 számjegyű lehet!" sqref="I3:K3">
      <formula1>99999999</formula1>
    </dataValidation>
    <dataValidation errorStyle="warning" allowBlank="1" showInputMessage="1" showErrorMessage="1" promptTitle="TELEFONSZÁM" prompt="Kérem adja meg azt a telefonszámát, amelyen a Humán Szolgáltatás a VBKJ nyilatkozatára vonatkozó adategyeztetés céljából elérheti Önt!" error="Kérem adja meg telefonszámát!" sqref="I6:K6"/>
    <dataValidation allowBlank="1" showInputMessage="1" showErrorMessage="1" prompt="Kérem ne feledkezzen meg a keltezésre vonatkozó rész kitöltéséről!" error="Kérem adja meg a kitöltés helyét és dátumát!" sqref="C32:D32"/>
    <dataValidation type="whole" allowBlank="1" showInputMessage="1" showErrorMessage="1" promptTitle="SPORTRENDEZVÉNYRE SZÓLÓ BELÉPŐ" prompt="&#10;A juttatásra max.a havi minimálbér (149.000Ft), más elemekkel együtt max. az M oszlopban (&quot;még felhasználható munkavállalói bruttó összeg&quot;)  feltüntetett érték írható be!" error="Az összeg 0 és a bruttó keret közötti érték lehet!" sqref="H10">
      <formula1>0</formula1>
      <formula2>G10</formula2>
    </dataValidation>
    <dataValidation type="whole" allowBlank="1" showInputMessage="1" showErrorMessage="1" promptTitle="SZÉP Kártya - SZABADIDŐ" prompt="&#10;A juttatásra max.összeg, más elemekkel együtt max. az M oszlopban (&quot;még felhasználható munkavállalói bruttó összeg&quot;) feltüntetett érték írható be!&#10;&#10;Kedveszményes adózású ha az E15 mezőbe írt összeggel együtt nem haladja meg az évi 75.000Ft-ot . " error="Az összeg 0 és a max. összeg közötti érték lehet!" sqref="H15">
      <formula1>0</formula1>
      <formula2>G15</formula2>
    </dataValidation>
    <dataValidation type="whole" allowBlank="1" showInputMessage="1" showErrorMessage="1" promptTitle="KÖZLEKEDÉSI HOZZÁJÁRULÁS (HELYI)" prompt="&#10;A juttatásra a max.az M oszlopban (&quot;még felhasználható munkavállalói bruttó összeg&quot;) feltüntetett érték írható be!&#10;&#10;Ez a juttatás VBKJ elem, adó és járulékköteles, de  nem képez pótlékalapot!" error="Az összeg 0 és a maximálisan választható összeg közötti érték lehet!" sqref="H29">
      <formula1>0</formula1>
      <formula2>G29</formula2>
    </dataValidation>
    <dataValidation type="whole" allowBlank="1" showInputMessage="1" showErrorMessage="1" promptTitle="SZÉP Kártya - VENDÉGLÁTÁS" prompt="&#10;A juttatásra max.összeg, más elemekkel együtt max.az M oszlopban (&quot;még felhasználható munkavállalói bruttó összeg&quot;) feltüntetett érték írható be!&#10;&#10;Kedveszményes adózású ha az E14 mezőbe írt összeggel együtt nem haladja meg az évi 150.000Ft-ot . &#10;" error="Az összeg 0 és a max. összeg közötti érték lehet!" sqref="H14">
      <formula1>0</formula1>
      <formula2>G14</formula2>
    </dataValidation>
    <dataValidation operator="lessThanOrEqual" allowBlank="1" showInputMessage="1" showErrorMessage="1" sqref="K31"/>
    <dataValidation type="whole" allowBlank="1" showInputMessage="1" showErrorMessage="1" promptTitle="ÖNKÉNTES NYUGDÍJPÉNZTÁR" prompt="&#10;&#10;A juttatásra a max.összeg, más elemekkel együtt max.az M oszlopban(&quot;még felhasználható munkavállalói bruttó összeg&quot;) feltüntetett érték írható be!&#10;&#10;A juttatási elemet választása esetén a &quot;választható elemek&quot; oszlopban a  pénztár nevét is meg kell adnia!" error="Az összeg 0 és a maximum összeg közötti érték lehet!" sqref="H19:H21">
      <formula1>0</formula1>
      <formula2>G19</formula2>
    </dataValidation>
    <dataValidation type="whole" allowBlank="1" showInputMessage="1" showErrorMessage="1" promptTitle="KÉSZPÉNZ VBKJ keret " prompt="&#10;A juttatásra a max.összeg, más elemekkel együtt max.az M oszlopban (&quot;még felhasználható munkavállalói bruttó összeg&quot;) feltüntetett érték írható be!&#10;&#10;Ez a juttatás VBKJ elem, adó és járulékköteles, de  nem képez pótlékalapot!" error="Az összeg 0 és a maximálisan választható érték közötti lehet!" sqref="H25">
      <formula1>0</formula1>
      <formula2>G25</formula2>
    </dataValidation>
    <dataValidation type="whole" allowBlank="1" showInputMessage="1" showErrorMessage="1" promptTitle="BÖLCSÖDEI, ÓVODAI SZOLG.KTG.TÉR." prompt="&#10;A juttatásra max.a bruttó keret, más elemekkel együtt max. az M oszlopban (&quot;még felhasználható munkavállalói bruttó összeg&quot;)  feltüntetett érték írható be!" error="Az összeg 0 és a bruttó keret közötti érték lehet!" sqref="H9">
      <formula1>0</formula1>
      <formula2>G9</formula2>
    </dataValidation>
    <dataValidation type="whole" allowBlank="1" showInputMessage="1" showErrorMessage="1" promptTitle="EGÉSZSÉG- ÉS ÖNSEGÉLYEZŐ PÉNZTÁR" prompt="&#10;A juttatásra a max.összeg, más elemekkel együtt max.az M oszlopban(&quot;még felhasználható munkavállalói bruttó összeg&quot;) feltüntetett érték írható be!&#10;&#10;A juttatási elemet választása esetén a &quot;választható elemek&quot; oszlopban a  pénztár nevét is meg kell adnia!&#10;" error="Az összeg 0 és a maximálisan választható összeg közötti érték lehet!" sqref="H22:H24">
      <formula1>0</formula1>
      <formula2>G22</formula2>
    </dataValidation>
    <dataValidation type="whole" allowBlank="1" showInputMessage="1" showErrorMessage="1" promptTitle="Jogosult naptári napok" prompt="A teljes 2019.évre 365, illetve munkaszerződés függvényében a B6 mezőben szereplő munkáltatónál  2019. évben munkaviszonyban töltött naptári napok száma&#10;" error="Az érték 0 és 365 közötti egész szám lehet!" sqref="G6">
      <formula1>0</formula1>
      <formula2>365</formula2>
    </dataValidation>
    <dataValidation type="whole" allowBlank="1" showInputMessage="1" showErrorMessage="1" promptTitle="KULTURÁLIS SZOLGÁLTATÁSRA BELÉPŐ" prompt="&#10;A juttatásra max.a havi minimálbér (149.000Ft), más elemekkel együtt max.az M oszlopban (&quot;még felhasználható munkavállalói bruttó összeg&quot;)  feltüntetett érték írható be!" error="Az összeg 0 és a max. választható összeg közötti érték lehet!" sqref="H11">
      <formula1>0</formula1>
      <formula2>G11</formula2>
    </dataValidation>
    <dataValidation type="whole" allowBlank="1" showInputMessage="1" showErrorMessage="1" promptTitle="MOBILITÁS CÉLÚ TÁMOGATÁS" prompt="&#10;A juttatásra max.az M oszlopban (&quot;még felhasználható munkavállalói bruttó összeg&quot;) feltüntetett érték írható be!&#10;&#10;Ez a juttatás VBKJ elem, adó és járulékköteles, de  nem képez pótlékalapot!" error="Az összeg 0 és a max. érték közötti érték lehet!" sqref="H27">
      <formula1>0</formula1>
      <formula2>G27</formula2>
    </dataValidation>
    <dataValidation type="whole" allowBlank="1" showInputMessage="1" showErrorMessage="1" promptTitle="DIÁKHITEL TÖRLESZTÉS TÁMOGATÁS" prompt="&#10;A juttatásra max.az M oszlopban (&quot;még felhasználható munkavállalói bruttó összeg&quot;) feltüntetett érték írható be!&#10;&#10;Ez a juttatás VBKJ elem, adó és járulékköteles, de  nem képez pótlékalapot!&#10;" error="Az összeg 0 és a maximum érték közötti érték lehet!" sqref="H28">
      <formula1>0</formula1>
      <formula2>G28</formula2>
    </dataValidation>
    <dataValidation type="whole" allowBlank="1" showInputMessage="1" showErrorMessage="1" promptTitle="SZÉP Kártya - SZÁLLÁS" prompt="&#10;A juttatásra max.összeg, más elemekkel együtt max. az M oszlopban(&quot;még felhasználható munkavállalói bruttó összeg&quot;) feltüntetett érték írható be!&#10;KEDVEZMÉNYES ADÓZÁSÚ JUTTATÁS !&#10;&#10;A C oszlopban kifizetés hónapját is jelölje be! " error="Az összeg 0 és a választható maximum összeg közötti érték lehet!" sqref="H12:H13">
      <formula1>0</formula1>
      <formula2>G12</formula2>
    </dataValidation>
    <dataValidation type="whole" allowBlank="1" showInputMessage="1" showErrorMessage="1" sqref="G14:G15">
      <formula1>0</formula1>
      <formula2>225000</formula2>
    </dataValidation>
    <dataValidation type="whole" allowBlank="1" showInputMessage="1" showErrorMessage="1" promptTitle="SZÉP K.- SZÁLLÁS kereten felül" prompt="&#10;A juttatásra a max.összeg, más elemekkel együtt max. az M oszlopban (&quot;még felhasználható munkavállalói bruttó összeg&quot;) feltüntetett érték írható be!&#10;&#10;Emelt szorzóval, kedvezményes adózású juttatáson FELÜL, egyéb juttatásként választható!&#10;&#10;&#10;" error="Az összeg 0 és a maximálisan választható összeg közötti érték lehet! &#10;AKKOR VÁLASZTHATÓ, HA A 4.SZ. ELEMNÉL A KEDVEZMÉNYES ADÓZÁSÚ KERETET MÁR FELHASZNÁLTA!" sqref="H16">
      <formula1>0</formula1>
      <formula2>G16</formula2>
    </dataValidation>
    <dataValidation type="whole" allowBlank="1" showInputMessage="1" showErrorMessage="1" promptTitle="SZÉP K-VENDÉGLÁTÁS kereten felül" prompt="&#10;A juttatásra a max.összeg, más elemekkel együtt max. az M oszlopban (&quot;még felhasználható munkavállalói bruttó összeg&quot;) feltüntetett érték írható be!&#10;&#10;Emelt szorzóval, kedvezményes adózású juttatáson FELÜL, egyéb juttatásként választható!" error="Az összeg 0 és a maximálisan választható összeg közötti érték lehet!&#10;AKKOR VÁLASZTHATÓ, HA AZ 5 .SZ. ELEMNÉL A KEDVEZMÉNYES ADÓZÁSÚ KERETET MÁR FELHASZNÁLTA!" sqref="H17">
      <formula1>0</formula1>
      <formula2>G17</formula2>
    </dataValidation>
    <dataValidation type="whole" allowBlank="1" showInputMessage="1" showErrorMessage="1" promptTitle="SZÉP K-SZABADIDŐ kereten felül" prompt="&#10;&#10;A juttatásra a max.összeg, más elemekkel együtt max. az M oszlopban (&quot;még felhasználható munkavállalói bruttó összeg&quot;) feltüntetett érték írható be!&#10;&#10;Emelt szorzóval, kedvezményes adózású juttatáson FELÜL, egyéb juttatásként választható!&#10;" error="Az összeg 0 és a maximálisan választható összeg közötti érték lehet!&#10;AKKOR VÁLASZTHATÓ, HA A 6.SZ. ELEMNÉL A KEDVEZMÉNYES ADÓZÁSÚ KERETET MÁR FELHASZNÁLTA!" sqref="H18">
      <formula1>0</formula1>
      <formula2>G18</formula2>
    </dataValidation>
    <dataValidation type="whole" allowBlank="1" showInputMessage="1" showErrorMessage="1" promptTitle="VBKJ LCT PÉNZBENI MEGVÁLTÁS" prompt="A juttatásra a max.összeg, más elemekkel együtt max. a &quot;még felhasználható nettó összeg&quot; oszlopban feltüntetett  írható!&#10;&#10;A juttatás nettó értéke összevont jövedelem alapját képezi és annal adó és járulék terhekkel csökkentett összege kerül kifizetésre!&#10;&#10;" error="Az összeg 0 és a maximálisan választható összeg közötti érték lehet!" sqref="H30">
      <formula1>0</formula1>
      <formula2>G30</formula2>
    </dataValidation>
    <dataValidation type="whole" allowBlank="1" showInputMessage="1" showErrorMessage="1" promptTitle="További SZÉP-VENDÉGLÁTÁS összeg" prompt="Ide kell beírni a 2019.évben KEDVEZMÉNYES ADÓZÁSSAL kapott &#10;SZÉP-VENDÉGLÁTÁS&#10;    - KSZ szerinti ALANYI juttatás  és &#10;    - MÁS munkáltatótól kapott juttatás &#10;együttes összegét." error="Az érték az éves  alanyi juttatás  és 150.000 közötti egész szám lehet!" sqref="E14">
      <formula1>92900</formula1>
      <formula2>150000</formula2>
    </dataValidation>
    <dataValidation type="whole" allowBlank="1" showInputMessage="1" showErrorMessage="1" promptTitle="További SZÉP-SZABADIDŐ összeg" prompt="&#10;Ide kell beírni a 2019. évben &#10;- MÁS munkáltatótól &#10;- KEDVEZMÉNYES ADÓZÁSSAL kapott  SZÉP Kártya SZABADIDŐ juttatás összegét.&#10;" errorTitle="TÉVES ÉRTÉK!" error="Az érték 0 és 75.000 közötti egész szám lehet!" sqref="E15">
      <formula1>0</formula1>
      <formula2>75000</formula2>
    </dataValidation>
    <dataValidation type="list" allowBlank="1" showInputMessage="1" showErrorMessage="1" promptTitle="SZÉP Kártya típusa" prompt="Kérem válassza ki a SZÉP Kártya típusát attól függően MELYIK BANKNÁL  kötötte meg a SZÉP Kártya szerződését.&#10;Az alábbiak közül váaszthat:&#10;- OTP SZÉP Kártya&#10;- K&amp;H SZÉP Kártya&#10;- MKB SZÉP Kártya&#10;Amennyiben nem rendelkezik szerződéssel:&#10;- nincs szerződésem" error="Kérem válassza ki a kártya típusát!" sqref="H6">
      <formula1>"OTP SZÉP Kártya,K&amp;H SZÉP Kártya,MKB SZÉP Kártya,nincs szerződésem"</formula1>
    </dataValidation>
    <dataValidation type="decimal" allowBlank="1" showInputMessage="1" showErrorMessage="1" promptTitle="Napi munkaidő" prompt="A munkaszerződésében egy munkanapra meghatározott munkaóra.&#10;Teljes munkaidős foglalkoztatás esetén 8 óra, részmunkaidős foglalkoztatás esetén nullánál nagyobb, de nyolcnál kisebb érték." error="Az érték 0 és 8 közötti lehet.&#10;Egész vagy tört szám is beírható&#10;&#10;" sqref="F5">
      <formula1>0</formula1>
      <formula2>8</formula2>
    </dataValidation>
    <dataValidation allowBlank="1" showInputMessage="1" showErrorMessage="1" promptTitle="SZÉP_SZÁLLÁS UTALÁSA kedv.adóz." prompt="Válassza ki a kedvezményes adózású SZÉP Kártya SZÁLLÁS elemnél a  kifizetés hónapját a hónap melletti gombra kattintva!&#10; &#10;(A május és a szeptember hónap közül választhat!)" sqref="C13"/>
    <dataValidation type="whole" allowBlank="1" showInputMessage="1" showErrorMessage="1" promptTitle="További SZÉP-SZÁLLÁS összeg" prompt="&#10;Ide kell beírni a 2019. évben &#10;- MÁS munkáltatótól &#10;- KEDVEZMÉNYES ADÓZÁSSAL kapott  SZÉP Kártya SZÁLLÁS juttatás összegét" error="Az érték 0 és 225.000 közötti egész szám lehet!" sqref="E12">
      <formula1>0</formula1>
      <formula2>225000</formula2>
    </dataValidation>
    <dataValidation type="list" allowBlank="1" showInputMessage="1" showErrorMessage="1" promptTitle="SZÉP szállás nem kedv.adózású" prompt="&#10;Válassza ki a kifizetés hónapját a legördülő listából&#10;&#10;(A május és a szeptember hónap közül választhat." sqref="E16">
      <formula1>"MÁJUS,SZEPTEMBER"</formula1>
    </dataValidation>
    <dataValidation allowBlank="1" showInputMessage="1" showErrorMessage="1" promptTitle="A NYILATKOZAT KITÖLTÉSE" prompt="Kérem írja be az első kék mezőbe a nevét és a többi kék színű cellát is töltse ki - rálépve felugró üzenet (EGÉR BAL GOMBJÁVAL ELHÚZHATÓ!)  segíti a kitöltésben! &#10;Elírás, módosítás esetén valamennyi kék mező szabadon javítható és tartalma törölhető !&#10;" error="Kérem írja be a nevét!" sqref="D2"/>
    <dataValidation allowBlank="1" showInputMessage="1" showErrorMessage="1" promptTitle="SZÉP Kártya SZÁLLÁS UTALÁSA" prompt="Válassza ki a kedvezményes adózású SZÉP Kártya SZÁLLÁS elemnél a  kifizetés hónapját a hónap melletti gombra kattintva!&#10;" sqref="D13"/>
    <dataValidation type="whole" allowBlank="1" showInputMessage="1" showErrorMessage="1" sqref="W12">
      <formula1>0</formula1>
      <formula2>0</formula2>
    </dataValidation>
    <dataValidation type="whole" allowBlank="1" showInputMessage="1" showErrorMessage="1" promptTitle="LAKÁSCÉLÚ TÁMOGATÁS" prompt="&#10;A juttatásra min.100eFt max.az M oszlopban (&quot;még felhasználható munkavállalói bruttó összeg&quot;) feltüntetett érték írható be!&#10;&#10;Ez a juttatás VBKJ elem, adó és járulékköteles, de  nem képez pótlékalapot!" error="Az összeg 0 vagy min. 100eFT és a bruttó keret közötti érték lehet!" sqref="H26">
      <formula1>IF(OR($O$2/$I$26&lt;100000,H26=0),0,100000)</formula1>
      <formula2>IF(O2&gt;100000,O2,0)</formula2>
    </dataValidation>
    <dataValidation type="list" allowBlank="1" showInputMessage="1" showErrorMessage="1" prompt="Válasszon pénztárat a legördülő listából! &#10;A kék színű cella melletti nyílra kattintva tudja kiválasztani a pénztár nevét. &#10;Amennyiben mégsem nyugdíjpénztárat szeretne választani, a kék mezőben levő megnevezést szabadon törölheti." sqref="D21">
      <formula1>IF(B6=O44,C42:C65,IF(B6=O45,E42:E64,IF(B6=O46,F42:F58,IF(B6=O49,I42:I60,IF(B6=O47,G42:G48,IF(B6=O48,H42:H57,""))))))</formula1>
    </dataValidation>
    <dataValidation type="list" allowBlank="1" showInputMessage="1" showErrorMessage="1" prompt="Válasszon pénztárat a legördülő listából! &#10;A kék színű cella melletti nyílra kattintva tudja kiválasztani a pénztár nevét. &#10;Amennyiben mégsem nyugdíjpénztárat szeretne választani, a kék mezőben levő megnevezést szabadon törölheti." sqref="E21">
      <formula1>IF(C6=P44,D42:D65,IF(C6=P45,F42:F64,IF(C6=P46,G42:G59,IF(C6=P49,J42:J60,IF(C6=P47,H42:H48,IF(C6=P48,I42:I57,""))))))</formula1>
    </dataValidation>
    <dataValidation type="list" allowBlank="1" showInputMessage="1" showErrorMessage="1" prompt="Válasszon pénztárat a legördülő listából!&#10; A kék színű cella melletti nyílra kattintva tudja kiválasztani a pénztár nevét. &#10;Amennyiben mégsem egészségpénztárat szeretne választani, a kék mezőben levő megnevezést szabadon törölheti." sqref="D24:E24">
      <formula1>IF(B6=O44,C71:C82,IF(B6=O45,E71:E82,IF(B6=O46,F71:F79,IF(B6=O49,I71:I80,IF(B6=O47,G71:G72,IF(B6=O48,H71:H78,""))))))</formula1>
    </dataValidation>
  </dataValidations>
  <printOptions horizontalCentered="1" verticalCentered="1"/>
  <pageMargins left="0.1968503937007874" right="0.1968503937007874" top="0.11811023622047245" bottom="0.11811023622047245" header="0.15748031496062992" footer="0.1968503937007874"/>
  <pageSetup horizontalDpi="600" verticalDpi="600" orientation="portrait" paperSize="9" scale="5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O20"/>
  <sheetViews>
    <sheetView showGridLines="0" showOutlineSymbols="0" zoomScale="85" zoomScaleNormal="85" zoomScalePageLayoutView="0" workbookViewId="0" topLeftCell="A1">
      <selection activeCell="E18" sqref="E18:E19"/>
    </sheetView>
  </sheetViews>
  <sheetFormatPr defaultColWidth="9.140625" defaultRowHeight="12.75"/>
  <cols>
    <col min="2" max="2" width="18.00390625" style="42" bestFit="1" customWidth="1"/>
    <col min="3" max="3" width="25.28125" style="0" customWidth="1"/>
    <col min="4" max="4" width="16.421875" style="0" customWidth="1"/>
    <col min="5" max="5" width="17.7109375" style="0" customWidth="1"/>
    <col min="6" max="6" width="52.28125" style="0" customWidth="1"/>
    <col min="7" max="7" width="21.00390625" style="0" customWidth="1"/>
    <col min="9" max="9" width="13.28125" style="0" customWidth="1"/>
    <col min="10" max="10" width="14.8515625" style="0" customWidth="1"/>
  </cols>
  <sheetData>
    <row r="1" spans="1:7" ht="12.75">
      <c r="A1" s="36"/>
      <c r="B1" s="36"/>
      <c r="C1" s="35"/>
      <c r="D1" s="35"/>
      <c r="E1" s="35"/>
      <c r="F1" s="35"/>
      <c r="G1" s="35"/>
    </row>
    <row r="2" spans="2:7" ht="27" customHeight="1" thickBot="1">
      <c r="B2" s="605" t="s">
        <v>143</v>
      </c>
      <c r="C2" s="605"/>
      <c r="D2" s="605"/>
      <c r="E2" s="605"/>
      <c r="F2" s="605"/>
      <c r="G2" s="605"/>
    </row>
    <row r="3" spans="1:12" s="38" customFormat="1" ht="21" customHeight="1" thickBot="1">
      <c r="A3" s="37"/>
      <c r="B3" s="115" t="s">
        <v>55</v>
      </c>
      <c r="C3" s="116" t="e">
        <f>IF(AND(MÁV!G6&lt;43267,MÁV!#REF!&gt;=1000,MÁV!#REF!&gt;1000),MÁV!#REF!,IF(MÁV!#REF!="nem kérhető",0,MÁV!#REF!))</f>
        <v>#REF!</v>
      </c>
      <c r="D3" s="117" t="s">
        <v>142</v>
      </c>
      <c r="E3" s="37"/>
      <c r="F3" s="37"/>
      <c r="G3" s="590" t="s">
        <v>132</v>
      </c>
      <c r="H3" s="591"/>
      <c r="I3" s="591"/>
      <c r="J3" s="592"/>
      <c r="K3" s="139"/>
      <c r="L3" s="139"/>
    </row>
    <row r="4" spans="1:10" ht="26.25" customHeight="1">
      <c r="A4" s="35"/>
      <c r="B4" s="612" t="s">
        <v>56</v>
      </c>
      <c r="C4" s="608" t="s">
        <v>57</v>
      </c>
      <c r="D4" s="610" t="s">
        <v>58</v>
      </c>
      <c r="E4" s="611" t="s">
        <v>59</v>
      </c>
      <c r="F4" s="35"/>
      <c r="G4" s="140"/>
      <c r="H4" s="141"/>
      <c r="I4" s="141"/>
      <c r="J4" s="142"/>
    </row>
    <row r="5" spans="1:10" ht="21" customHeight="1" thickBot="1">
      <c r="A5" s="35"/>
      <c r="B5" s="613"/>
      <c r="C5" s="609"/>
      <c r="D5" s="611"/>
      <c r="E5" s="611"/>
      <c r="F5" s="39"/>
      <c r="G5" s="593" t="s">
        <v>170</v>
      </c>
      <c r="H5" s="594"/>
      <c r="I5" s="594"/>
      <c r="J5" s="595"/>
    </row>
    <row r="6" spans="1:10" ht="21.75" customHeight="1" thickBot="1">
      <c r="A6" s="35"/>
      <c r="B6" s="107" t="s">
        <v>60</v>
      </c>
      <c r="C6" s="110">
        <v>0</v>
      </c>
      <c r="D6" s="108">
        <v>1.4071</v>
      </c>
      <c r="E6" s="109">
        <f aca="true" t="shared" si="0" ref="E6:E15">IF(OR(C6&gt;=0,C6&lt;=97500),IF(C6=97500,(ROUND(C6*D6,0)),IF(MOD(C6,100)=0,(ROUND(C6*D6,0)),"Rossz összeg!")),"Rossz összeg!")</f>
        <v>0</v>
      </c>
      <c r="F6" s="159">
        <f>IF(E6="Rossz összeg!","A beírt összeget a program nem veszi figyelembe.","")</f>
      </c>
      <c r="G6" s="593"/>
      <c r="H6" s="594"/>
      <c r="I6" s="594"/>
      <c r="J6" s="595"/>
    </row>
    <row r="7" spans="1:13" ht="21" customHeight="1" thickBot="1">
      <c r="A7" s="35"/>
      <c r="B7" s="107" t="s">
        <v>61</v>
      </c>
      <c r="C7" s="110">
        <v>0</v>
      </c>
      <c r="D7" s="108">
        <v>1.4071</v>
      </c>
      <c r="E7" s="109">
        <f t="shared" si="0"/>
        <v>0</v>
      </c>
      <c r="F7" s="40">
        <f>IF(E7="Rossz összeg!","A beírt összeget a program nem veszi figyelembe.","")</f>
      </c>
      <c r="G7" s="593"/>
      <c r="H7" s="594"/>
      <c r="I7" s="594"/>
      <c r="J7" s="595"/>
      <c r="K7" s="102"/>
      <c r="L7" s="102"/>
      <c r="M7" s="89"/>
    </row>
    <row r="8" spans="1:13" ht="21.75" customHeight="1" thickBot="1">
      <c r="A8" s="35"/>
      <c r="B8" s="107" t="s">
        <v>62</v>
      </c>
      <c r="C8" s="110">
        <v>0</v>
      </c>
      <c r="D8" s="108">
        <v>1.4071</v>
      </c>
      <c r="E8" s="109">
        <f t="shared" si="0"/>
        <v>0</v>
      </c>
      <c r="F8" s="40">
        <f>IF(E8="Rossz összeg!","A beírt összeget a program nem veszi figyelembe.","")</f>
      </c>
      <c r="G8" s="593"/>
      <c r="H8" s="594"/>
      <c r="I8" s="594"/>
      <c r="J8" s="595"/>
      <c r="K8" s="127"/>
      <c r="L8" s="127"/>
      <c r="M8" s="89"/>
    </row>
    <row r="9" spans="1:14" ht="21.75" customHeight="1" thickBot="1">
      <c r="A9" s="35"/>
      <c r="B9" s="107" t="s">
        <v>63</v>
      </c>
      <c r="C9" s="110">
        <v>0</v>
      </c>
      <c r="D9" s="108">
        <v>1.4071</v>
      </c>
      <c r="E9" s="109">
        <f t="shared" si="0"/>
        <v>0</v>
      </c>
      <c r="F9" s="101">
        <f>IF(E9="Rossz összeg!","A beírt összeget a program nem veszi figyelembe.","")</f>
      </c>
      <c r="G9" s="593"/>
      <c r="H9" s="594"/>
      <c r="I9" s="594"/>
      <c r="J9" s="595"/>
      <c r="K9" s="127"/>
      <c r="L9" s="127"/>
      <c r="M9" s="89"/>
      <c r="N9" s="103"/>
    </row>
    <row r="10" spans="1:13" ht="21.75" customHeight="1" thickBot="1">
      <c r="A10" s="35"/>
      <c r="B10" s="107" t="s">
        <v>64</v>
      </c>
      <c r="C10" s="110">
        <v>0</v>
      </c>
      <c r="D10" s="108">
        <v>1.4071</v>
      </c>
      <c r="E10" s="109">
        <f t="shared" si="0"/>
        <v>0</v>
      </c>
      <c r="F10" s="40">
        <f aca="true" t="shared" si="1" ref="F10:F15">IF(E10="Rossz összeg!","A beírt összeget a program nem veszi figyelembe.","")</f>
      </c>
      <c r="G10" s="596"/>
      <c r="H10" s="597"/>
      <c r="I10" s="597"/>
      <c r="J10" s="598"/>
      <c r="K10" s="127"/>
      <c r="L10" s="127"/>
      <c r="M10" s="89"/>
    </row>
    <row r="11" spans="1:15" ht="21.75" customHeight="1" thickBot="1">
      <c r="A11" s="35"/>
      <c r="B11" s="107" t="s">
        <v>65</v>
      </c>
      <c r="C11" s="110">
        <v>0</v>
      </c>
      <c r="D11" s="108">
        <v>1.4071</v>
      </c>
      <c r="E11" s="109">
        <f t="shared" si="0"/>
        <v>0</v>
      </c>
      <c r="F11" s="40">
        <f t="shared" si="1"/>
      </c>
      <c r="G11" s="599" t="s">
        <v>158</v>
      </c>
      <c r="H11" s="600"/>
      <c r="I11" s="600"/>
      <c r="J11" s="601"/>
      <c r="K11" s="127"/>
      <c r="L11" s="127"/>
      <c r="O11" s="4"/>
    </row>
    <row r="12" spans="1:12" ht="21.75" customHeight="1" thickBot="1">
      <c r="A12" s="35"/>
      <c r="B12" s="107" t="s">
        <v>66</v>
      </c>
      <c r="C12" s="110">
        <v>0</v>
      </c>
      <c r="D12" s="108">
        <v>1.4071</v>
      </c>
      <c r="E12" s="109">
        <f t="shared" si="0"/>
        <v>0</v>
      </c>
      <c r="F12" s="40">
        <f t="shared" si="1"/>
      </c>
      <c r="G12" s="602"/>
      <c r="H12" s="603"/>
      <c r="I12" s="603"/>
      <c r="J12" s="604"/>
      <c r="K12" s="127"/>
      <c r="L12" s="127"/>
    </row>
    <row r="13" spans="1:12" ht="21.75" customHeight="1" thickBot="1">
      <c r="A13" s="35"/>
      <c r="B13" s="107" t="s">
        <v>67</v>
      </c>
      <c r="C13" s="110">
        <v>0</v>
      </c>
      <c r="D13" s="108">
        <v>1.4071</v>
      </c>
      <c r="E13" s="109">
        <f t="shared" si="0"/>
        <v>0</v>
      </c>
      <c r="F13" s="40">
        <f t="shared" si="1"/>
      </c>
      <c r="G13" s="616" t="s">
        <v>172</v>
      </c>
      <c r="H13" s="617"/>
      <c r="I13" s="617"/>
      <c r="J13" s="618"/>
      <c r="K13" s="126"/>
      <c r="L13" s="126"/>
    </row>
    <row r="14" spans="1:12" ht="21.75" customHeight="1" thickBot="1">
      <c r="A14" s="35"/>
      <c r="B14" s="107" t="s">
        <v>68</v>
      </c>
      <c r="C14" s="110">
        <v>0</v>
      </c>
      <c r="D14" s="108">
        <v>1.4071</v>
      </c>
      <c r="E14" s="109">
        <f t="shared" si="0"/>
        <v>0</v>
      </c>
      <c r="F14" s="40">
        <f t="shared" si="1"/>
      </c>
      <c r="G14" s="619"/>
      <c r="H14" s="620"/>
      <c r="I14" s="620"/>
      <c r="J14" s="621"/>
      <c r="K14" s="126"/>
      <c r="L14" s="126"/>
    </row>
    <row r="15" spans="1:10" ht="21.75" customHeight="1" thickBot="1">
      <c r="A15" s="35"/>
      <c r="B15" s="107" t="s">
        <v>69</v>
      </c>
      <c r="C15" s="110">
        <v>0</v>
      </c>
      <c r="D15" s="108">
        <v>1.4071</v>
      </c>
      <c r="E15" s="109">
        <f t="shared" si="0"/>
        <v>0</v>
      </c>
      <c r="F15" s="40">
        <f t="shared" si="1"/>
      </c>
      <c r="G15" s="622"/>
      <c r="H15" s="623"/>
      <c r="I15" s="623"/>
      <c r="J15" s="624"/>
    </row>
    <row r="16" spans="1:10" ht="59.25" customHeight="1">
      <c r="A16" s="35"/>
      <c r="B16" s="111" t="s">
        <v>70</v>
      </c>
      <c r="C16" s="128" t="e">
        <f>IF(AND(0&lt;C17,C17&lt;1000),"Nem érte el a min.választható összeget!",IF(C17+MÁV!#REF!&gt;97500,"Túllépte a választható keretet!",IF(MÁV!G6&gt;43266,0,IF(OR(C17=0,999&lt;C17&lt;97501),C17,SUM(C6:C15)))))</f>
        <v>#REF!</v>
      </c>
      <c r="D16" s="111" t="s">
        <v>71</v>
      </c>
      <c r="E16" s="112" t="e">
        <f>ROUND(SUM(C16*1.4071),0)</f>
        <v>#REF!</v>
      </c>
      <c r="F16" s="41"/>
      <c r="G16" s="614" t="s">
        <v>171</v>
      </c>
      <c r="H16" s="615"/>
      <c r="I16" s="615"/>
      <c r="J16" s="615"/>
    </row>
    <row r="17" spans="1:7" ht="18" customHeight="1" thickBot="1">
      <c r="A17" s="35"/>
      <c r="B17" s="36"/>
      <c r="C17" s="129">
        <f>SUM(C6:C15)</f>
        <v>0</v>
      </c>
      <c r="D17" s="35"/>
      <c r="E17" s="35"/>
      <c r="F17" s="35"/>
      <c r="G17" s="4"/>
    </row>
    <row r="18" spans="1:7" ht="13.5" thickTop="1">
      <c r="A18" s="35"/>
      <c r="B18" s="36"/>
      <c r="C18" s="35"/>
      <c r="D18" s="35"/>
      <c r="E18" s="606" t="s">
        <v>72</v>
      </c>
      <c r="F18" s="35"/>
      <c r="G18" s="4"/>
    </row>
    <row r="19" spans="1:7" ht="64.5" thickBot="1">
      <c r="A19" s="35"/>
      <c r="B19" s="113" t="s">
        <v>135</v>
      </c>
      <c r="C19" s="114" t="e">
        <f>MÁV!#REF!</f>
        <v>#REF!</v>
      </c>
      <c r="D19" s="35"/>
      <c r="E19" s="607"/>
      <c r="F19" s="35"/>
      <c r="G19" s="165" t="e">
        <f>IF(AND(MÁV!G6&lt;43266,C3&gt;=0),OR(C6=0,C6=C3,AND(C6&gt;0,MOD(C6,100)=0)),0)</f>
        <v>#REF!</v>
      </c>
    </row>
    <row r="20" spans="1:7" ht="15.75" thickTop="1">
      <c r="A20" s="35"/>
      <c r="B20" s="36"/>
      <c r="C20" s="35"/>
      <c r="D20" s="35"/>
      <c r="E20" s="35"/>
      <c r="F20" s="35"/>
      <c r="G20" s="165"/>
    </row>
    <row r="22" ht="23.25" customHeight="1"/>
  </sheetData>
  <sheetProtection/>
  <mergeCells count="11">
    <mergeCell ref="G13:J15"/>
    <mergeCell ref="G3:J3"/>
    <mergeCell ref="G5:J10"/>
    <mergeCell ref="G11:J12"/>
    <mergeCell ref="B2:G2"/>
    <mergeCell ref="E18:E19"/>
    <mergeCell ref="C4:C5"/>
    <mergeCell ref="D4:D5"/>
    <mergeCell ref="E4:E5"/>
    <mergeCell ref="B4:B5"/>
    <mergeCell ref="G16:J16"/>
  </mergeCells>
  <conditionalFormatting sqref="E6:F15">
    <cfRule type="cellIs" priority="1" dxfId="3" operator="equal" stopIfTrue="1">
      <formula>"Rossz összeget írt be!"</formula>
    </cfRule>
  </conditionalFormatting>
  <conditionalFormatting sqref="E18">
    <cfRule type="cellIs" priority="2" dxfId="1" operator="equal" stopIfTrue="1">
      <formula>"""Rossz összegeg írt be!"</formula>
    </cfRule>
  </conditionalFormatting>
  <hyperlinks>
    <hyperlink ref="E18" location="Nyilatkozat!H30" display="Vissza a kitöltéshez"/>
    <hyperlink ref="E18:E19" location="MÁV!H26" display="Vissza a kitöltéshez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N23"/>
  <sheetViews>
    <sheetView showGridLines="0" showRowColHeaders="0" showOutlineSymbols="0" zoomScale="85" zoomScaleNormal="85" zoomScalePageLayoutView="0" workbookViewId="0" topLeftCell="A1">
      <selection activeCell="E18" sqref="E18"/>
    </sheetView>
  </sheetViews>
  <sheetFormatPr defaultColWidth="9.140625" defaultRowHeight="12.75"/>
  <cols>
    <col min="1" max="1" width="9.140625" style="17" customWidth="1"/>
    <col min="2" max="2" width="18.00390625" style="17" bestFit="1" customWidth="1"/>
    <col min="3" max="3" width="16.57421875" style="17" customWidth="1"/>
    <col min="4" max="4" width="16.28125" style="17" customWidth="1"/>
    <col min="5" max="5" width="17.28125" style="17" customWidth="1"/>
    <col min="6" max="16384" width="9.140625" style="17" customWidth="1"/>
  </cols>
  <sheetData>
    <row r="1" spans="1:6" ht="12.75">
      <c r="A1" s="35"/>
      <c r="B1" s="35"/>
      <c r="C1" s="35"/>
      <c r="D1" s="35"/>
      <c r="E1" s="35"/>
      <c r="F1" s="35"/>
    </row>
    <row r="2" spans="2:7" ht="27" customHeight="1" thickBot="1">
      <c r="B2" s="61" t="s">
        <v>73</v>
      </c>
      <c r="C2" s="43"/>
      <c r="D2" s="43"/>
      <c r="E2" s="43"/>
      <c r="F2" s="43"/>
      <c r="G2" s="81" t="s">
        <v>91</v>
      </c>
    </row>
    <row r="3" spans="1:14" s="44" customFormat="1" ht="21" customHeight="1">
      <c r="A3" s="37"/>
      <c r="B3" s="62" t="s">
        <v>55</v>
      </c>
      <c r="C3" s="63">
        <v>284000</v>
      </c>
      <c r="D3" s="37"/>
      <c r="E3" s="37"/>
      <c r="F3" s="37"/>
      <c r="G3" s="625" t="s">
        <v>117</v>
      </c>
      <c r="H3" s="626"/>
      <c r="I3" s="626"/>
      <c r="J3" s="626"/>
      <c r="K3" s="626"/>
      <c r="L3" s="626"/>
      <c r="M3" s="626"/>
      <c r="N3" s="626"/>
    </row>
    <row r="4" spans="1:14" ht="12.75" customHeight="1">
      <c r="A4" s="35"/>
      <c r="B4" s="630" t="s">
        <v>74</v>
      </c>
      <c r="C4" s="631" t="s">
        <v>75</v>
      </c>
      <c r="D4" s="630" t="s">
        <v>58</v>
      </c>
      <c r="E4" s="630" t="s">
        <v>59</v>
      </c>
      <c r="F4" s="35"/>
      <c r="G4" s="626"/>
      <c r="H4" s="626"/>
      <c r="I4" s="626"/>
      <c r="J4" s="626"/>
      <c r="K4" s="626"/>
      <c r="L4" s="626"/>
      <c r="M4" s="626"/>
      <c r="N4" s="626"/>
    </row>
    <row r="5" spans="1:14" s="46" customFormat="1" ht="37.5" customHeight="1">
      <c r="A5" s="45"/>
      <c r="B5" s="630"/>
      <c r="C5" s="632"/>
      <c r="D5" s="630"/>
      <c r="E5" s="630"/>
      <c r="F5" s="45"/>
      <c r="G5" s="626"/>
      <c r="H5" s="626"/>
      <c r="I5" s="626"/>
      <c r="J5" s="626"/>
      <c r="K5" s="626"/>
      <c r="L5" s="626"/>
      <c r="M5" s="626"/>
      <c r="N5" s="626"/>
    </row>
    <row r="6" spans="1:14" ht="21" customHeight="1">
      <c r="A6" s="35"/>
      <c r="B6" s="65" t="s">
        <v>76</v>
      </c>
      <c r="C6" s="67">
        <v>0</v>
      </c>
      <c r="D6" s="66">
        <v>1.2304</v>
      </c>
      <c r="E6" s="64">
        <f>IF(C6=0,0,IF(AND(C6&gt;=5000,C6&lt;=78000),IF(C6=78000,C6*D6,IF(MOD(C6,1000)=0,C6*D6,"Rossz összeg!")),"Rossz összeg!"))</f>
        <v>0</v>
      </c>
      <c r="F6" s="47">
        <f>IF(E6="Rossz összeg!","A beírt összeget a program nem veszi figyelembe.","")</f>
      </c>
      <c r="G6" s="87"/>
      <c r="H6" s="87"/>
      <c r="I6" s="87"/>
      <c r="J6" s="87"/>
      <c r="K6" s="87"/>
      <c r="L6" s="87"/>
      <c r="M6" s="87"/>
      <c r="N6" s="87"/>
    </row>
    <row r="7" spans="1:14" ht="21" customHeight="1">
      <c r="A7" s="35"/>
      <c r="B7" s="65" t="s">
        <v>77</v>
      </c>
      <c r="C7" s="67">
        <v>0</v>
      </c>
      <c r="D7" s="66">
        <v>1.2304</v>
      </c>
      <c r="E7" s="64">
        <f>IF(C7=0,0,IF(AND(C7&gt;=5000,C7&lt;=78000),IF(C7=78000,C7*D7,IF(MOD(C7,1000)=0,C7*D7,"Rossz összeg!")),"Rossz összeg!"))</f>
        <v>0</v>
      </c>
      <c r="F7" s="47">
        <f aca="true" t="shared" si="0" ref="F7:F15">IF(E7="Rossz összeg!","A beírt összeget a program nem veszi figyelembe.","")</f>
      </c>
      <c r="G7" s="87"/>
      <c r="H7" s="87"/>
      <c r="I7" s="87"/>
      <c r="J7" s="87"/>
      <c r="K7" s="87"/>
      <c r="L7" s="87"/>
      <c r="M7" s="87"/>
      <c r="N7" s="87"/>
    </row>
    <row r="8" spans="1:11" ht="21" customHeight="1">
      <c r="A8" s="35"/>
      <c r="B8" s="65" t="s">
        <v>78</v>
      </c>
      <c r="C8" s="67">
        <v>0</v>
      </c>
      <c r="D8" s="66">
        <v>1.2304</v>
      </c>
      <c r="E8" s="64">
        <f>IF(C8=0,0,IF(AND(C8&gt;=5000,C8&lt;=78000),IF(C8=78000,C8*D8,IF(MOD(C8,1000)=0,C8*D8,"Rossz összeg!")),"Rossz összeg!"))</f>
        <v>0</v>
      </c>
      <c r="F8" s="47">
        <f t="shared" si="0"/>
      </c>
      <c r="H8" s="81"/>
      <c r="I8" s="81"/>
      <c r="J8" s="81"/>
      <c r="K8" s="81"/>
    </row>
    <row r="9" spans="1:14" ht="21" customHeight="1">
      <c r="A9" s="35"/>
      <c r="B9" s="65" t="s">
        <v>79</v>
      </c>
      <c r="C9" s="67">
        <v>0</v>
      </c>
      <c r="D9" s="66">
        <v>1.2304</v>
      </c>
      <c r="E9" s="64">
        <f>IF(C9=0,0,IF(AND(C9&gt;=5000,C9&lt;=78000),IF(C9=78000,C9*D9,IF(MOD(C9,1000)=0,C9*D9,"Rossz összeg!")),"Rossz összeg!"))</f>
        <v>0</v>
      </c>
      <c r="F9" s="47">
        <f t="shared" si="0"/>
      </c>
      <c r="G9" s="87"/>
      <c r="H9" s="87"/>
      <c r="I9" s="87"/>
      <c r="J9" s="87"/>
      <c r="K9" s="87"/>
      <c r="L9" s="87"/>
      <c r="M9" s="87"/>
      <c r="N9" s="87"/>
    </row>
    <row r="10" spans="1:14" ht="21" customHeight="1">
      <c r="A10" s="35"/>
      <c r="B10" s="65" t="s">
        <v>80</v>
      </c>
      <c r="C10" s="67">
        <v>0</v>
      </c>
      <c r="D10" s="66">
        <v>1.2304</v>
      </c>
      <c r="E10" s="64">
        <f>IF(C10=0,0,IF(AND(C10&gt;=5000,C10&lt;=78000),IF(C10=78000,C10*D10,IF(MOD(C10,1000)=0,C10*D10,"Rossz összeg!")),"Rossz összeg!"))</f>
        <v>0</v>
      </c>
      <c r="F10" s="47">
        <f t="shared" si="0"/>
      </c>
      <c r="G10" s="87"/>
      <c r="H10" s="87"/>
      <c r="I10" s="87"/>
      <c r="J10" s="87"/>
      <c r="K10" s="87"/>
      <c r="L10" s="87"/>
      <c r="M10" s="87"/>
      <c r="N10" s="87"/>
    </row>
    <row r="11" spans="1:14" ht="21" customHeight="1">
      <c r="A11" s="35"/>
      <c r="B11" s="65" t="s">
        <v>81</v>
      </c>
      <c r="C11" s="67">
        <v>0</v>
      </c>
      <c r="D11" s="66">
        <v>1.2304</v>
      </c>
      <c r="E11" s="64">
        <f>IF(C11=0,0,IF(AND(C11&gt;=5000,C11&lt;=78000),IF(C11=73500,C11*D11,IF(MOD(C11,1000)=0,C11*D11,"Rossz összeg!")),"Rossz összeg!"))</f>
        <v>0</v>
      </c>
      <c r="F11" s="47">
        <f t="shared" si="0"/>
      </c>
      <c r="G11" s="87"/>
      <c r="H11" s="87"/>
      <c r="I11" s="87"/>
      <c r="J11" s="87"/>
      <c r="K11" s="87"/>
      <c r="L11" s="87"/>
      <c r="M11" s="87"/>
      <c r="N11" s="87"/>
    </row>
    <row r="12" spans="1:7" ht="21" customHeight="1">
      <c r="A12" s="35"/>
      <c r="B12" s="65" t="s">
        <v>82</v>
      </c>
      <c r="C12" s="67">
        <v>0</v>
      </c>
      <c r="D12" s="66">
        <v>1.2304</v>
      </c>
      <c r="E12" s="64">
        <f>IF(C12=0,0,IF(AND(C12&gt;=5000,C12&lt;=78000),IF(C12=78000,C12*D12,IF(MOD(C12,1000)=0,C12*D12,"Rossz összeg!")),"Rossz összeg!"))</f>
        <v>0</v>
      </c>
      <c r="F12" s="47">
        <f t="shared" si="0"/>
      </c>
      <c r="G12" s="48"/>
    </row>
    <row r="13" spans="1:7" ht="21" customHeight="1">
      <c r="A13" s="35"/>
      <c r="B13" s="65" t="s">
        <v>83</v>
      </c>
      <c r="C13" s="67">
        <v>0</v>
      </c>
      <c r="D13" s="66">
        <v>1.2304</v>
      </c>
      <c r="E13" s="64">
        <f>IF(C13=0,0,IF(AND(C13&gt;=5000,C13&lt;=78000),IF(C13=78000,C13*D13,IF(MOD(C13,1000)=0,C13*D13,"Rossz összeg!")),"Rossz összeg!"))</f>
        <v>0</v>
      </c>
      <c r="F13" s="47">
        <f t="shared" si="0"/>
      </c>
      <c r="G13" s="48"/>
    </row>
    <row r="14" spans="1:7" ht="21" customHeight="1">
      <c r="A14" s="35"/>
      <c r="B14" s="65" t="s">
        <v>84</v>
      </c>
      <c r="C14" s="67">
        <v>0</v>
      </c>
      <c r="D14" s="66">
        <v>1.2304</v>
      </c>
      <c r="E14" s="64">
        <f>IF(C14=0,0,IF(AND(C14&gt;=5000,C14&lt;=78000),IF(C14=78000,C14*D14,IF(MOD(C14,1000)=0,C14*D14,"Rossz összeg!")),"Rossz összeg!"))</f>
        <v>0</v>
      </c>
      <c r="F14" s="47">
        <f t="shared" si="0"/>
      </c>
      <c r="G14" s="48"/>
    </row>
    <row r="15" spans="1:7" ht="21" customHeight="1">
      <c r="A15" s="35"/>
      <c r="B15" s="65" t="s">
        <v>85</v>
      </c>
      <c r="C15" s="68">
        <v>0</v>
      </c>
      <c r="D15" s="66">
        <v>1.2304</v>
      </c>
      <c r="E15" s="64">
        <f>IF(C15=0,0,IF(AND(C15&gt;=5000,C15&lt;=78000),IF(C15=78000,C15*D15,IF(MOD(C15,1000)=0,C15*D15,"Rossz összeg!")),"Rossz összeg!"))</f>
        <v>0</v>
      </c>
      <c r="F15" s="47">
        <f t="shared" si="0"/>
      </c>
      <c r="G15" s="48"/>
    </row>
    <row r="16" spans="1:7" ht="35.25" customHeight="1">
      <c r="A16" s="35"/>
      <c r="B16" s="59" t="s">
        <v>70</v>
      </c>
      <c r="C16" s="60">
        <f>E16/D15</f>
        <v>0</v>
      </c>
      <c r="D16" s="59" t="s">
        <v>71</v>
      </c>
      <c r="E16" s="58">
        <f>IF(SUM(E6:E15)&gt;(C3*1.2304),"0 Ft",SUM(E6:E15))</f>
        <v>0</v>
      </c>
      <c r="F16" s="47">
        <f>IF(E16&gt;C3*1.2304,"A beírt összeg meghaladja az igényelhető összeget!","")</f>
      </c>
      <c r="G16" s="48"/>
    </row>
    <row r="17" spans="1:6" ht="13.5" thickBot="1">
      <c r="A17" s="35"/>
      <c r="B17" s="36"/>
      <c r="C17" s="627"/>
      <c r="D17" s="35"/>
      <c r="E17" s="35"/>
      <c r="F17" s="35"/>
    </row>
    <row r="18" spans="1:6" ht="33" thickBot="1" thickTop="1">
      <c r="A18" s="35"/>
      <c r="B18" s="36"/>
      <c r="C18" s="628"/>
      <c r="D18" s="86"/>
      <c r="E18" s="85" t="s">
        <v>72</v>
      </c>
      <c r="F18" s="35"/>
    </row>
    <row r="19" spans="1:6" ht="13.5" thickTop="1">
      <c r="A19" s="35"/>
      <c r="B19" s="36"/>
      <c r="C19" s="629"/>
      <c r="D19" s="35"/>
      <c r="E19" s="35"/>
      <c r="F19" s="35"/>
    </row>
    <row r="20" spans="1:6" ht="12.75">
      <c r="A20" s="35"/>
      <c r="B20" s="35"/>
      <c r="C20" s="629"/>
      <c r="D20" s="35"/>
      <c r="E20" s="35"/>
      <c r="F20" s="35"/>
    </row>
    <row r="23" ht="15">
      <c r="F23" s="49"/>
    </row>
  </sheetData>
  <sheetProtection/>
  <mergeCells count="6">
    <mergeCell ref="G3:N5"/>
    <mergeCell ref="C17:C20"/>
    <mergeCell ref="B4:B5"/>
    <mergeCell ref="C4:C5"/>
    <mergeCell ref="D4:D5"/>
    <mergeCell ref="E4:E5"/>
  </mergeCells>
  <conditionalFormatting sqref="F6:F16 G12:G15 E18">
    <cfRule type="cellIs" priority="1" dxfId="1" operator="equal" stopIfTrue="1">
      <formula>"""Rossz összegeg írt be!"</formula>
    </cfRule>
  </conditionalFormatting>
  <conditionalFormatting sqref="E6:E15">
    <cfRule type="cellIs" priority="2" dxfId="0" operator="equal" stopIfTrue="1">
      <formula>"Rossz összeget írt be!"</formula>
    </cfRule>
  </conditionalFormatting>
  <hyperlinks>
    <hyperlink ref="E18" location="MÁV!H26" display="Vissza a kitöltéshez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pageSetUpPr fitToPage="1"/>
  </sheetPr>
  <dimension ref="A1:G32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1.28125" style="3" bestFit="1" customWidth="1"/>
    <col min="2" max="2" width="46.421875" style="4" customWidth="1"/>
    <col min="3" max="3" width="31.7109375" style="4" bestFit="1" customWidth="1"/>
    <col min="4" max="4" width="36.7109375" style="4" bestFit="1" customWidth="1"/>
    <col min="5" max="5" width="28.421875" style="4" customWidth="1"/>
    <col min="6" max="6" width="13.28125" style="4" bestFit="1" customWidth="1"/>
    <col min="7" max="7" width="53.140625" style="4" bestFit="1" customWidth="1"/>
    <col min="8" max="16384" width="9.140625" style="4" customWidth="1"/>
  </cols>
  <sheetData>
    <row r="1" spans="1:7" s="2" customFormat="1" ht="12.75">
      <c r="A1" s="2" t="s">
        <v>0</v>
      </c>
      <c r="B1" s="1" t="s">
        <v>30</v>
      </c>
      <c r="C1" s="1" t="s">
        <v>16</v>
      </c>
      <c r="D1" s="1" t="s">
        <v>15</v>
      </c>
      <c r="E1" s="2" t="s">
        <v>18</v>
      </c>
      <c r="F1" s="2" t="s">
        <v>35</v>
      </c>
      <c r="G1" s="2" t="s">
        <v>40</v>
      </c>
    </row>
    <row r="2" spans="1:7" s="2" customFormat="1" ht="12.75">
      <c r="A2" s="3">
        <v>78000</v>
      </c>
      <c r="B2" s="3" t="s">
        <v>31</v>
      </c>
      <c r="C2" s="3" t="s">
        <v>34</v>
      </c>
      <c r="D2" s="3" t="s">
        <v>25</v>
      </c>
      <c r="E2" s="3" t="s">
        <v>31</v>
      </c>
      <c r="F2" s="4">
        <v>21450</v>
      </c>
      <c r="G2" s="4" t="s">
        <v>36</v>
      </c>
    </row>
    <row r="3" spans="1:7" ht="12.75">
      <c r="A3" s="3">
        <v>143000</v>
      </c>
      <c r="B3" s="3" t="s">
        <v>12</v>
      </c>
      <c r="C3" s="3" t="s">
        <v>32</v>
      </c>
      <c r="D3" s="3" t="s">
        <v>24</v>
      </c>
      <c r="E3" s="3" t="s">
        <v>12</v>
      </c>
      <c r="F3" s="4">
        <v>42900</v>
      </c>
      <c r="G3" s="4" t="s">
        <v>37</v>
      </c>
    </row>
    <row r="4" spans="1:7" ht="12.75">
      <c r="A4" s="3">
        <v>214500</v>
      </c>
      <c r="B4" s="3" t="s">
        <v>13</v>
      </c>
      <c r="C4" s="3" t="s">
        <v>33</v>
      </c>
      <c r="D4" s="3" t="s">
        <v>19</v>
      </c>
      <c r="E4" s="3" t="s">
        <v>13</v>
      </c>
      <c r="F4" s="4">
        <f>F3+21450</f>
        <v>64350</v>
      </c>
      <c r="G4" s="4" t="s">
        <v>38</v>
      </c>
    </row>
    <row r="5" spans="2:7" ht="12.75">
      <c r="B5" s="3" t="s">
        <v>17</v>
      </c>
      <c r="C5" s="3" t="s">
        <v>94</v>
      </c>
      <c r="D5" s="3" t="s">
        <v>20</v>
      </c>
      <c r="E5" s="3" t="s">
        <v>17</v>
      </c>
      <c r="F5" s="4">
        <f>F4+21450</f>
        <v>85800</v>
      </c>
      <c r="G5" s="4" t="s">
        <v>41</v>
      </c>
    </row>
    <row r="6" spans="2:7" ht="12.75">
      <c r="B6" s="3" t="s">
        <v>14</v>
      </c>
      <c r="C6" s="3"/>
      <c r="D6" s="3" t="s">
        <v>26</v>
      </c>
      <c r="E6" s="3" t="s">
        <v>14</v>
      </c>
      <c r="F6" s="4">
        <f aca="true" t="shared" si="0" ref="F6:F13">F5+21450</f>
        <v>107250</v>
      </c>
      <c r="G6" s="4" t="s">
        <v>42</v>
      </c>
    </row>
    <row r="7" spans="2:7" ht="12.75">
      <c r="B7" s="4" t="s">
        <v>106</v>
      </c>
      <c r="C7" s="3"/>
      <c r="D7" s="3" t="s">
        <v>21</v>
      </c>
      <c r="E7" s="3" t="s">
        <v>34</v>
      </c>
      <c r="F7" s="4">
        <f t="shared" si="0"/>
        <v>128700</v>
      </c>
      <c r="G7" s="4" t="s">
        <v>39</v>
      </c>
    </row>
    <row r="8" spans="2:6" ht="12.75">
      <c r="B8" s="3" t="s">
        <v>105</v>
      </c>
      <c r="C8" s="3"/>
      <c r="D8" s="3" t="s">
        <v>27</v>
      </c>
      <c r="E8" s="3" t="s">
        <v>32</v>
      </c>
      <c r="F8" s="4">
        <f t="shared" si="0"/>
        <v>150150</v>
      </c>
    </row>
    <row r="9" spans="2:6" ht="12.75">
      <c r="B9" s="3" t="s">
        <v>107</v>
      </c>
      <c r="C9" s="3"/>
      <c r="D9" s="3" t="s">
        <v>28</v>
      </c>
      <c r="E9" s="3" t="s">
        <v>33</v>
      </c>
      <c r="F9" s="4">
        <f t="shared" si="0"/>
        <v>171600</v>
      </c>
    </row>
    <row r="10" spans="2:6" ht="12.75">
      <c r="B10" s="3" t="s">
        <v>108</v>
      </c>
      <c r="C10" s="3"/>
      <c r="D10" s="3" t="s">
        <v>22</v>
      </c>
      <c r="E10" s="3"/>
      <c r="F10" s="4">
        <f t="shared" si="0"/>
        <v>193050</v>
      </c>
    </row>
    <row r="11" spans="2:6" ht="12.75">
      <c r="B11" s="3" t="s">
        <v>109</v>
      </c>
      <c r="C11" s="3"/>
      <c r="D11" s="3" t="s">
        <v>29</v>
      </c>
      <c r="E11" s="3"/>
      <c r="F11" s="4">
        <f t="shared" si="0"/>
        <v>214500</v>
      </c>
    </row>
    <row r="12" spans="2:6" ht="12.75">
      <c r="B12" s="3" t="s">
        <v>110</v>
      </c>
      <c r="C12" s="3"/>
      <c r="D12" s="3" t="s">
        <v>95</v>
      </c>
      <c r="E12" s="3"/>
      <c r="F12" s="4">
        <f t="shared" si="0"/>
        <v>235950</v>
      </c>
    </row>
    <row r="13" spans="3:6" ht="12.75">
      <c r="C13" s="3"/>
      <c r="D13" s="3" t="s">
        <v>96</v>
      </c>
      <c r="E13" s="3"/>
      <c r="F13" s="4">
        <f t="shared" si="0"/>
        <v>257400</v>
      </c>
    </row>
    <row r="14" spans="3:5" ht="12.75">
      <c r="C14" s="3"/>
      <c r="D14" s="3" t="s">
        <v>97</v>
      </c>
      <c r="E14" s="3"/>
    </row>
    <row r="15" spans="3:5" ht="12.75">
      <c r="C15" s="3"/>
      <c r="D15" s="3" t="s">
        <v>98</v>
      </c>
      <c r="E15" s="3"/>
    </row>
    <row r="16" spans="3:5" ht="12.75">
      <c r="C16" s="3"/>
      <c r="D16" s="3" t="s">
        <v>99</v>
      </c>
      <c r="E16" s="3"/>
    </row>
    <row r="17" spans="3:5" ht="12.75">
      <c r="C17" s="3"/>
      <c r="D17" s="3" t="s">
        <v>100</v>
      </c>
      <c r="E17" s="3"/>
    </row>
    <row r="18" spans="3:5" ht="12.75">
      <c r="C18" s="3"/>
      <c r="D18" s="3" t="s">
        <v>101</v>
      </c>
      <c r="E18" s="3"/>
    </row>
    <row r="19" spans="3:5" ht="12.75">
      <c r="C19" s="3"/>
      <c r="D19" s="3" t="s">
        <v>102</v>
      </c>
      <c r="E19" s="3"/>
    </row>
    <row r="20" spans="3:5" ht="12.75">
      <c r="C20" s="3"/>
      <c r="D20" s="3" t="s">
        <v>103</v>
      </c>
      <c r="E20" s="3"/>
    </row>
    <row r="21" spans="3:5" ht="12.75">
      <c r="C21" s="3"/>
      <c r="D21" s="3" t="s">
        <v>104</v>
      </c>
      <c r="E21" s="3"/>
    </row>
    <row r="22" spans="4:5" ht="12.75">
      <c r="D22" s="3"/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C32" s="88"/>
    </row>
  </sheetData>
  <sheetProtection/>
  <dataValidations count="2">
    <dataValidation type="list" allowBlank="1" showInputMessage="1" showErrorMessage="1" sqref="E26">
      <formula1>"gyümik"</formula1>
    </dataValidation>
    <dataValidation type="list" allowBlank="1" showInputMessage="1" showErrorMessage="1" sqref="E27">
      <formula1>gyümi</formula1>
    </dataValidation>
  </dataValidations>
  <printOptions gridLines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MZS</dc:creator>
  <cp:keywords/>
  <dc:description/>
  <cp:lastModifiedBy>Megyeri Zsuzsanna dr. (MegyeriZsdr)</cp:lastModifiedBy>
  <cp:lastPrinted>2019-02-21T10:11:39Z</cp:lastPrinted>
  <dcterms:created xsi:type="dcterms:W3CDTF">2004-11-22T12:08:28Z</dcterms:created>
  <dcterms:modified xsi:type="dcterms:W3CDTF">2019-02-22T13:31:36Z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ZCX3UT6XDRC7-56-15</vt:lpwstr>
  </property>
  <property fmtid="{D5CDD505-2E9C-101B-9397-08002B2CF9AE}" pid="3" name="_dlc_DocIdItemGuid">
    <vt:lpwstr>19a93e7e-293c-40d0-a5ec-836f6f334108</vt:lpwstr>
  </property>
  <property fmtid="{D5CDD505-2E9C-101B-9397-08002B2CF9AE}" pid="4" name="_dlc_DocIdUrl">
    <vt:lpwstr>https://intranet.mav.hu/mavszk/vbkj/_layouts/DocIdRedir.aspx?ID=ZCX3UT6XDRC7-56-15, ZCX3UT6XDRC7-56-15</vt:lpwstr>
  </property>
  <property fmtid="{D5CDD505-2E9C-101B-9397-08002B2CF9AE}" pid="5" name="Order">
    <vt:lpwstr>700.000000000000</vt:lpwstr>
  </property>
  <property fmtid="{D5CDD505-2E9C-101B-9397-08002B2CF9AE}" pid="6" name="Sorrend">
    <vt:lpwstr>1.00000000000000</vt:lpwstr>
  </property>
</Properties>
</file>