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0" yWindow="405" windowWidth="19440" windowHeight="8985" tabRatio="608" activeTab="0"/>
  </bookViews>
  <sheets>
    <sheet name="MÁV" sheetId="1" r:id="rId1"/>
    <sheet name="iskolakezédsi" sheetId="2" r:id="rId2"/>
    <sheet name="üdülési" sheetId="3" r:id="rId3"/>
    <sheet name="Lista" sheetId="4" state="hidden" r:id="rId4"/>
  </sheets>
  <definedNames>
    <definedName name="aaaaa">'Lista'!$C$34:$C$36</definedName>
    <definedName name="Felhasznált_összeg">'MÁV'!#REF!</definedName>
    <definedName name="gyümi">'Lista'!$C$26:$C$28</definedName>
    <definedName name="Maradvány">'Lista'!$G$2:$G$7</definedName>
    <definedName name="Minimálbér">'Lista'!$A$2:$A$4</definedName>
    <definedName name="_xlnm.Print_Area" localSheetId="0">'MÁV'!$B$172:$K$212</definedName>
    <definedName name="Önkéntes_egészségpénztárak">'Lista'!$B$2:$B$6</definedName>
    <definedName name="Önkéntes_nyugdíjpénztárak">'Lista'!$D$2:$D$11</definedName>
    <definedName name="Önkéntes_önsegélyező_pénztárak">'Lista'!$C$2:$C$4</definedName>
    <definedName name="Pénztárak">'Lista'!$E$2:$E$9</definedName>
  </definedNames>
  <calcPr fullCalcOnLoad="1"/>
</workbook>
</file>

<file path=xl/sharedStrings.xml><?xml version="1.0" encoding="utf-8"?>
<sst xmlns="http://schemas.openxmlformats.org/spreadsheetml/2006/main" count="342" uniqueCount="263">
  <si>
    <t>Minimálbér</t>
  </si>
  <si>
    <t>1.</t>
  </si>
  <si>
    <t>2.</t>
  </si>
  <si>
    <t>3.</t>
  </si>
  <si>
    <t>4.</t>
  </si>
  <si>
    <t>6.</t>
  </si>
  <si>
    <t>7.</t>
  </si>
  <si>
    <t>8.</t>
  </si>
  <si>
    <t>9.</t>
  </si>
  <si>
    <t>KULTÚRA UTALVÁNY</t>
  </si>
  <si>
    <t>10.</t>
  </si>
  <si>
    <t>11.</t>
  </si>
  <si>
    <t>MAGÁNCÉLÚ RUHAPÉNZ</t>
  </si>
  <si>
    <t>5.</t>
  </si>
  <si>
    <t>MKB Egészségpénztár</t>
  </si>
  <si>
    <t>OTP Egészségpénztár</t>
  </si>
  <si>
    <t>Vasutas Egészségpénztár</t>
  </si>
  <si>
    <t>Önkéntes nyugdíjpénztárak</t>
  </si>
  <si>
    <t>Önkéntes önsegélyező pénztárak</t>
  </si>
  <si>
    <t>Patika Egészségpénztár</t>
  </si>
  <si>
    <t>Pénztárak</t>
  </si>
  <si>
    <t>Aranykor Önkéntes Nyugdíjpénztár</t>
  </si>
  <si>
    <t>Budapest Önkéntes Nyugdíjpénztár</t>
  </si>
  <si>
    <t>ING Önkéntes Nyugdíjpénztár</t>
  </si>
  <si>
    <t>OTP Önkéntes Nyugdíjpénztár</t>
  </si>
  <si>
    <t>13.</t>
  </si>
  <si>
    <t>14.</t>
  </si>
  <si>
    <t>Allianz Hungária Önkéntes Nyugdíjpénztár</t>
  </si>
  <si>
    <t>AEGON Önkéntes Nyugdíjpénztár</t>
  </si>
  <si>
    <t>Gyöngyház Önkéntes Nyugdíjpénztár</t>
  </si>
  <si>
    <t>Mobilitas Önkéntes Nyugdíjpénztár</t>
  </si>
  <si>
    <t>MKB Önkéntes Nyugdíjpénztár</t>
  </si>
  <si>
    <t>Vasutas Önkéntes Nyugdíjpénztár</t>
  </si>
  <si>
    <t>Önkéntes kölcsönös kiegészítő egészségpénztárak</t>
  </si>
  <si>
    <t>AXA Egészségpénztár</t>
  </si>
  <si>
    <t>PÖKKÖP</t>
  </si>
  <si>
    <t>VÖKKÖP</t>
  </si>
  <si>
    <t>Kafetéria Önsegélyező Pénztár</t>
  </si>
  <si>
    <t>Iskolakezdési</t>
  </si>
  <si>
    <t>1. Önkéntes nyugdíjpénztári tagdíj hozzájárulás</t>
  </si>
  <si>
    <t>2. Egészségpénztári tagdíj hozzájárulás</t>
  </si>
  <si>
    <t>3. Önsegélyező pénztár tagdíj hozzájárulás</t>
  </si>
  <si>
    <t>15. Magáncélú ruhapénz</t>
  </si>
  <si>
    <t>Maradvány</t>
  </si>
  <si>
    <t>4. Egyéb önkéntes nyugdíjpénztári tagdíj hozzájárulás</t>
  </si>
  <si>
    <t>5. Egyéb egészség-/önsegélyező pénztári tagdíj hozzájárulás</t>
  </si>
  <si>
    <t>Felhasználható</t>
  </si>
  <si>
    <t>felhasznált keret</t>
  </si>
  <si>
    <t>(bruttó összeg)</t>
  </si>
  <si>
    <t>KEVÉSBÉ KÖLTSÉGHATÉKONY</t>
  </si>
  <si>
    <t>12 000 - 216 000 Ft</t>
  </si>
  <si>
    <t>szorzó</t>
  </si>
  <si>
    <t>Allianz Hungária Önkéntes Nyp.</t>
  </si>
  <si>
    <t>Budapest Önkéntes Nyp.</t>
  </si>
  <si>
    <t>Mobilitas Önkéntes Nyp.</t>
  </si>
  <si>
    <t>MKB Önkéntes Nyp.</t>
  </si>
  <si>
    <t>OTP Önkéntes Nyp.</t>
  </si>
  <si>
    <t>Vasutas Önkéntes Nyp.</t>
  </si>
  <si>
    <t xml:space="preserve">Aegon Önkéntes Nyp. </t>
  </si>
  <si>
    <t>AXA Önkéntes Nyp.</t>
  </si>
  <si>
    <t>nyugdíj</t>
  </si>
  <si>
    <t>eg</t>
  </si>
  <si>
    <t>öns</t>
  </si>
  <si>
    <t>VÁLASZTHATÓ ELEMEK</t>
  </si>
  <si>
    <t>BRUTTÓ KERET ÖSSZESEN</t>
  </si>
  <si>
    <t>A munkavállaló az általa választott VBKJ elemekből a "juttatás nettó értéke" oszlopban szereplő értékben részesül!</t>
  </si>
  <si>
    <t>helység</t>
  </si>
  <si>
    <t>dátum</t>
  </si>
  <si>
    <t>MUNKAVÁLLALÓ NEVE</t>
  </si>
  <si>
    <t>SZÜLETÉSI IDEJE</t>
  </si>
  <si>
    <t>ADÓAZONOSÍTÓ JELE:</t>
  </si>
  <si>
    <t>TELEFON:</t>
  </si>
  <si>
    <t>TÖRZSSZÁMA:</t>
  </si>
  <si>
    <t>választható max:</t>
  </si>
  <si>
    <t>Gyermekek</t>
  </si>
  <si>
    <t>Utalvány nettó értéke</t>
  </si>
  <si>
    <t>Szorzó</t>
  </si>
  <si>
    <t>Bruttó összeg</t>
  </si>
  <si>
    <t>1. gyermek</t>
  </si>
  <si>
    <t>2. gyermek</t>
  </si>
  <si>
    <t>3. gyermek</t>
  </si>
  <si>
    <t>4. gyermek</t>
  </si>
  <si>
    <t>5. gyermek</t>
  </si>
  <si>
    <t>6. gyermek</t>
  </si>
  <si>
    <t>7. gyermek</t>
  </si>
  <si>
    <t>8. gyermek</t>
  </si>
  <si>
    <t>9. gyermek</t>
  </si>
  <si>
    <t>10. gyermek</t>
  </si>
  <si>
    <t>Összesen:</t>
  </si>
  <si>
    <t>Felhasznált keret:</t>
  </si>
  <si>
    <t>Vissza a kitöltéshez</t>
  </si>
  <si>
    <t>Számolási segédlet üdülési csekk választásához</t>
  </si>
  <si>
    <t>Fő</t>
  </si>
  <si>
    <t>Csekk nettó értéke</t>
  </si>
  <si>
    <t>1. fő</t>
  </si>
  <si>
    <t>2. fő</t>
  </si>
  <si>
    <t>3. fő</t>
  </si>
  <si>
    <t>4. fő</t>
  </si>
  <si>
    <t>5. fő</t>
  </si>
  <si>
    <t>6. fő</t>
  </si>
  <si>
    <t>7. fő</t>
  </si>
  <si>
    <t>8. fő</t>
  </si>
  <si>
    <t>9. fő</t>
  </si>
  <si>
    <t>10. fő</t>
  </si>
  <si>
    <t>még felhasználható nettó összeg</t>
  </si>
  <si>
    <t>Figyelmeztetések</t>
  </si>
  <si>
    <t>.</t>
  </si>
  <si>
    <t>Felhasznált:</t>
  </si>
  <si>
    <t>Bruttó keret:</t>
  </si>
  <si>
    <t>Felhasználható:</t>
  </si>
  <si>
    <t>felhasznált keret (bruttó összeg)</t>
  </si>
  <si>
    <t>Az igényelt üdülési csekk nettó összege minimum 5.000 Ft lehet.</t>
  </si>
  <si>
    <t>választható   összeg</t>
  </si>
  <si>
    <t>MUNKÁLTATÓ</t>
  </si>
  <si>
    <t>választott elem:</t>
  </si>
  <si>
    <t>Aranykorona Önkéntes Nyp.</t>
  </si>
  <si>
    <t>Erste Önkéntes Nyugdíjpénztár</t>
  </si>
  <si>
    <t>Generali Egészségpénztár (korábban Évgyűrűk)</t>
  </si>
  <si>
    <t>Dimenzió Önkéntes Kölcsönös Egészségpénztár</t>
  </si>
  <si>
    <t>Életút Önsegélyező Pénztár</t>
  </si>
  <si>
    <t xml:space="preserve"> juttatás nettó értéke</t>
  </si>
  <si>
    <t>ÉTKEZÉSI UTALVÁNY</t>
  </si>
  <si>
    <t>5 000 - 78 000 Ft/fő</t>
  </si>
  <si>
    <t>0 - 272 373 Ft</t>
  </si>
  <si>
    <t>0 - 268 000 Ft</t>
  </si>
  <si>
    <t>ÜDÜLÉSI CSEKK*</t>
  </si>
  <si>
    <t>LAKÁSCÉLÚ TÁMOGATÁS</t>
  </si>
  <si>
    <t>Aranykorona Önkéntes Nyugdíjpénztár</t>
  </si>
  <si>
    <t>AXA Önkéntes Nyugdíjpénztár</t>
  </si>
  <si>
    <t>CIB Önkéntes Nyugdíjpénztár</t>
  </si>
  <si>
    <t>Dimenzió Bizt.és Öns.Egyesület</t>
  </si>
  <si>
    <t>Életút Első Orsz.Önkéntes Nyugdíjpénztár</t>
  </si>
  <si>
    <t>ELMŰ  Nyugdíjpénztár</t>
  </si>
  <si>
    <t>ERSTE Önkéntes Nyugdíjpénztár</t>
  </si>
  <si>
    <t>Generál Önkéntes Nyugdíjpénztár</t>
  </si>
  <si>
    <t>Honvéd Önkéntes Nyugdíjpénztár</t>
  </si>
  <si>
    <t>Rába Önkéntes Nyugdíjpénztár</t>
  </si>
  <si>
    <t>Vitamin Egészségpénztár</t>
  </si>
  <si>
    <t>Dimenzió Önk. Egészségpénztár</t>
  </si>
  <si>
    <t>Generáli Eg.pénztár( Évgyűrű)</t>
  </si>
  <si>
    <t>Honvéd Egészségpénztár</t>
  </si>
  <si>
    <t>K&amp;H Medicina Egészségpénztár</t>
  </si>
  <si>
    <t>Tempo Egészségpénztár</t>
  </si>
  <si>
    <t>(beleolvadt az Uniqa és Egyesült Közszolgálati Nyp.)</t>
  </si>
  <si>
    <t> Allianz Hungária Önkéntes Nyp.</t>
  </si>
  <si>
    <t>Aranykor Nyp.</t>
  </si>
  <si>
    <t>CIB Önkéntes Kölcsönös Nyp.</t>
  </si>
  <si>
    <t>Danubius Önkéntes Nyp.</t>
  </si>
  <si>
    <t>Dimenzió Bizt. és Öns. Egyesület</t>
  </si>
  <si>
    <t>Életút Első Orsz. Önkéntes Nyp.</t>
  </si>
  <si>
    <t>ELMŰ Nyp.</t>
  </si>
  <si>
    <t>Generali Önkéntes Nyp.</t>
  </si>
  <si>
    <t>Gyöngyház Önkéntes Nyp.</t>
  </si>
  <si>
    <t>Honvéd Önkéntes és Mnyp.</t>
  </si>
  <si>
    <t>ING Önkéntes Nyp.</t>
  </si>
  <si>
    <t>Aegon Önkéntes Nyp. (beleolvadt az Uniqa és Egyesült Közszolgálati Nyp.)</t>
  </si>
  <si>
    <t xml:space="preserve">Minden egyes fő-re igényelt üdülési csekk összeget külön sorba kell írni, mely nem haladhatja meg egyenként a 78.000 Ft/fő-t.
Figyeljen arra, hogy a nettó összegnek 1 000 Ft-tal oszthatónak kell lennie. </t>
  </si>
  <si>
    <t>0 - 50 000 Ft</t>
  </si>
  <si>
    <t>0 - 75 000 Ft</t>
  </si>
  <si>
    <t>SZÉCHENYI PIHENŐ KÁRTYA - SZÁLLÁS</t>
  </si>
  <si>
    <t>SZÉCHENYI PIHENŐ KÁRTYA - SZABADIDŐ</t>
  </si>
  <si>
    <t xml:space="preserve">KÖZLEKEDÉSI HOZZÁJÁRULÁS (HELYI) </t>
  </si>
  <si>
    <t xml:space="preserve"> 0 –  50 000 Ft</t>
  </si>
  <si>
    <t>0 –   75 000 Ft</t>
  </si>
  <si>
    <t>A nyilatkozati lapon található adatokat a munkáltató statisztikai célra felhasználja.</t>
  </si>
  <si>
    <t>Kelt</t>
  </si>
  <si>
    <t>MÁJUS</t>
  </si>
  <si>
    <t>SZEPTEMBER</t>
  </si>
  <si>
    <t>Kérem válasszon!</t>
  </si>
  <si>
    <t>Összeg:</t>
  </si>
  <si>
    <t>Szükséges kitölteni!</t>
  </si>
  <si>
    <t>Medicina Egészségpénztár</t>
  </si>
  <si>
    <t>Pannónia Önsegélyező Pénztár</t>
  </si>
  <si>
    <t>0 - 200 000 Ft</t>
  </si>
  <si>
    <t>ÚJ</t>
  </si>
  <si>
    <t>régi sorszám</t>
  </si>
  <si>
    <t>0 – 200 000 Ft</t>
  </si>
  <si>
    <t>A maradványösszeg az elemeknél megjelölt felhasználható keretet nem haladhatja meg.</t>
  </si>
  <si>
    <r>
      <t>Figyelem! A számított értékek tájékoztató jellegűek,</t>
    </r>
    <r>
      <rPr>
        <b/>
        <i/>
        <sz val="16"/>
        <color indexed="10"/>
        <rFont val="Arial"/>
        <family val="2"/>
      </rPr>
      <t xml:space="preserve"> a végleges elfogadás az ÜSZI feladata.</t>
    </r>
  </si>
  <si>
    <t>ERSTE Önkéntes Nyp.</t>
  </si>
  <si>
    <t>Új Pillér Egészségpénztár</t>
  </si>
  <si>
    <t>Túlköltekezés esetén hozzájárulok, hogy az éves keretösszegen felül felhasznált összeget béremből, egyéb járandóságaimból levonják.</t>
  </si>
  <si>
    <t>Választott pénztár neve*:</t>
  </si>
  <si>
    <t>VÁLASZTHATÓ BÉREN KÍVÜLI JAVADALMAZÁSI RENDSZER</t>
  </si>
  <si>
    <t>MUNKAVÁLLALÓ</t>
  </si>
  <si>
    <t>SZÉP Kártya-SZÁLLÁS</t>
  </si>
  <si>
    <t>SZÉP Kártya-SZABADIDŐ</t>
  </si>
  <si>
    <t>SZÉP Kártya-VENDÉGLÁTÁS</t>
  </si>
  <si>
    <t>Iskolakezdési támogatásra jogosult:</t>
  </si>
  <si>
    <t>SZÉCHENYI PIHENŐ KÁRTYA - VENDÉGLÁTÁS</t>
  </si>
  <si>
    <t>12.</t>
  </si>
  <si>
    <t>0 - 271 400 Ft</t>
  </si>
  <si>
    <t>0 –   57 300 Ft</t>
  </si>
  <si>
    <t>0 – 271 400 Ft</t>
  </si>
  <si>
    <t>0 –200 000 Ft</t>
  </si>
  <si>
    <r>
      <rPr>
        <sz val="12"/>
        <rFont val="Arial"/>
        <family val="2"/>
      </rPr>
      <t xml:space="preserve">A bármely okból keletkező </t>
    </r>
    <r>
      <rPr>
        <b/>
        <sz val="12"/>
        <rFont val="Arial"/>
        <family val="2"/>
      </rPr>
      <t>maradvány felhasználása:</t>
    </r>
  </si>
  <si>
    <t>VBKJ keretéből erre a juttatásra még felhasználható ősszeg</t>
  </si>
  <si>
    <t>év   hó    nap</t>
  </si>
  <si>
    <t>0- 57 300 Ft</t>
  </si>
  <si>
    <r>
      <t xml:space="preserve">Amennyiben a H31 mezőbe a maradványra vonatkozóan már beírta a választott elem számát, az alatta levő kék mezőre (H32) állva - a cella melletti nyílra kattintva -a legördülő listából kérem </t>
    </r>
    <r>
      <rPr>
        <b/>
        <sz val="10"/>
        <rFont val="Arial"/>
        <family val="2"/>
      </rPr>
      <t xml:space="preserve">válassza ki, hogy a maradványt melyik </t>
    </r>
    <r>
      <rPr>
        <b/>
        <u val="single"/>
        <sz val="10"/>
        <rFont val="Arial"/>
        <family val="2"/>
      </rPr>
      <t>pénztárba</t>
    </r>
    <r>
      <rPr>
        <b/>
        <sz val="10"/>
        <rFont val="Arial"/>
        <family val="2"/>
      </rPr>
      <t xml:space="preserve"> / SZÉP Kártya </t>
    </r>
    <r>
      <rPr>
        <b/>
        <u val="single"/>
        <sz val="10"/>
        <rFont val="Arial"/>
        <family val="2"/>
      </rPr>
      <t>alszámlára kéri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»»»</t>
    </r>
  </si>
  <si>
    <t>ISKOLAI ERZSÉBET UTALVÁNY</t>
  </si>
  <si>
    <t>1 000-96 000 Ft</t>
  </si>
  <si>
    <t xml:space="preserve"> 1 000–96 000 Ft</t>
  </si>
  <si>
    <t>választott juttatás nettó értéke</t>
  </si>
  <si>
    <t>VÁLASZTHATÓ BÉREN KÍVÜLI JAVADALMAZÁSI RENDSZER  "A" NYILATKOZAT - 2016</t>
  </si>
  <si>
    <t>30%-a</t>
  </si>
  <si>
    <t xml:space="preserve">Minimálbér: 111.000,-Ft; </t>
  </si>
  <si>
    <t>Bizalom Önkéntes Nyp.</t>
  </si>
  <si>
    <r>
      <t xml:space="preserve">A keret bruttó összege 2016. évben: 271 400 Ft. 
</t>
    </r>
    <r>
      <rPr>
        <sz val="14"/>
        <rFont val="Arial"/>
        <family val="2"/>
      </rPr>
      <t>A felsorolt választható elemek közül 2016. évre az alábbiakat kívánom igénybe venni:</t>
    </r>
  </si>
  <si>
    <t>1 000 - 33 300 Ft/gyermek</t>
  </si>
  <si>
    <t>ÖNKÉNTES NYUGDÍJPÉNZTÁRI TAGDÍJ HOZZÁJÁRULÁS*</t>
  </si>
  <si>
    <t>EGÉSZSÉGPÉNZTÁRI TAGDÍJ HOZZÁJÁRULÁS*</t>
  </si>
  <si>
    <t>ÖNSEGÉLYEZŐ PÉNZTÁR TAGDÍJ HOZZÁJÁRULÁS*</t>
  </si>
  <si>
    <t xml:space="preserve">                     "A" NYILATKOZAT - 2016.</t>
  </si>
  <si>
    <t>0 - 201 769 Ft</t>
  </si>
  <si>
    <t>A nettó 200eFt összeghatár elemeinek választott összege:</t>
  </si>
  <si>
    <t>100 000 - 271 400 Ft</t>
  </si>
  <si>
    <t xml:space="preserve"> +P4 és +T4</t>
  </si>
  <si>
    <t xml:space="preserve"> 200e felüli nettó</t>
  </si>
  <si>
    <r>
      <t xml:space="preserve">Amennyiben </t>
    </r>
    <r>
      <rPr>
        <b/>
        <sz val="12"/>
        <color indexed="10"/>
        <rFont val="Arial"/>
        <family val="2"/>
      </rPr>
      <t xml:space="preserve">33.300 Ft-nál kisebb mértékű támogatást választ </t>
    </r>
    <r>
      <rPr>
        <b/>
        <sz val="12"/>
        <rFont val="Arial"/>
        <family val="2"/>
      </rPr>
      <t xml:space="preserve">(gyermekenként), a </t>
    </r>
    <r>
      <rPr>
        <b/>
        <sz val="12"/>
        <color indexed="10"/>
        <rFont val="Arial"/>
        <family val="2"/>
      </rPr>
      <t>nettó összegnek 1000 Ft-tal oszthatónak kell lennie</t>
    </r>
    <r>
      <rPr>
        <b/>
        <sz val="12"/>
        <rFont val="Arial"/>
        <family val="2"/>
      </rPr>
      <t>!</t>
    </r>
  </si>
  <si>
    <t>értékig</t>
  </si>
  <si>
    <t>SZÁMOLÁSI SEGÉDLET AZ ISKOLAI ERZSÉBET-UTALVÁNY VÁLASZTÁSÁHOZ,</t>
  </si>
  <si>
    <r>
      <t xml:space="preserve">A </t>
    </r>
    <r>
      <rPr>
        <b/>
        <sz val="14"/>
        <color indexed="10"/>
        <rFont val="Arial"/>
        <family val="2"/>
      </rPr>
      <t xml:space="preserve">juttatást csak olyan munkavállalók kaphatják, akik </t>
    </r>
    <r>
      <rPr>
        <b/>
        <u val="single"/>
        <sz val="14"/>
        <color indexed="8"/>
        <rFont val="Arial"/>
        <family val="2"/>
      </rPr>
      <t>családi pótlékra jogosult szülei</t>
    </r>
    <r>
      <rPr>
        <b/>
        <sz val="14"/>
        <color indexed="8"/>
        <rFont val="Arial"/>
        <family val="2"/>
      </rPr>
      <t xml:space="preserve"> a  </t>
    </r>
    <r>
      <rPr>
        <b/>
        <u val="single"/>
        <sz val="14"/>
        <color indexed="8"/>
        <rFont val="Arial"/>
        <family val="2"/>
      </rPr>
      <t>közoktatásban részt vevő</t>
    </r>
    <r>
      <rPr>
        <b/>
        <sz val="14"/>
        <color indexed="8"/>
        <rFont val="Arial"/>
        <family val="2"/>
      </rPr>
      <t xml:space="preserve"> (általános vagy középiskolás), </t>
    </r>
    <r>
      <rPr>
        <b/>
        <u val="single"/>
        <sz val="14"/>
        <color indexed="8"/>
        <rFont val="Arial"/>
        <family val="2"/>
      </rPr>
      <t>velük egy háztartásban lakó gyermeknek</t>
    </r>
    <r>
      <rPr>
        <b/>
        <sz val="14"/>
        <color indexed="8"/>
        <rFont val="Arial"/>
        <family val="2"/>
      </rPr>
      <t>! A juttatás értéke</t>
    </r>
    <r>
      <rPr>
        <b/>
        <sz val="14"/>
        <color indexed="10"/>
        <rFont val="Arial"/>
        <family val="2"/>
      </rPr>
      <t xml:space="preserve"> jogosult gyermekenként </t>
    </r>
    <r>
      <rPr>
        <b/>
        <sz val="14"/>
        <color indexed="10"/>
        <rFont val="Arial"/>
        <family val="2"/>
      </rPr>
      <t>min.1000,-Ft, max. 33.300,-Ft lehet!</t>
    </r>
  </si>
  <si>
    <t>ISKOLAI ERZSÉBET-UTALVÁNY**</t>
  </si>
  <si>
    <t>ÉTKEZÉSI  ERZSÉBET-UTALVÁNY</t>
  </si>
  <si>
    <t xml:space="preserve">A munkavállaló az általa választott VBKJ elemből 
a „juttatás nettó értéke” oszlopban szereplő értékben részesül! </t>
  </si>
  <si>
    <r>
      <t xml:space="preserve">*A </t>
    </r>
    <r>
      <rPr>
        <b/>
        <i/>
        <u val="single"/>
        <sz val="14"/>
        <color indexed="60"/>
        <rFont val="Arial"/>
        <family val="2"/>
      </rPr>
      <t>pénztáraknál</t>
    </r>
    <r>
      <rPr>
        <b/>
        <i/>
        <sz val="14"/>
        <color indexed="60"/>
        <rFont val="Arial"/>
        <family val="2"/>
      </rPr>
      <t xml:space="preserve"> a "választható elemek" mezőben a kék színű cellában egy legördülő listából választhatja ki a pénztár nevét. </t>
    </r>
  </si>
  <si>
    <t>KÖZLEKEDÉSI HOZZÁJÁRULÁS (HELYI)</t>
  </si>
  <si>
    <t>A "választható elemek" közül a sárgával jelöltek esetén az ezekre meghatározott nettó összérték nem haladhatja meg a 200.000 Ft-os keretet. A D30 cellában ellenőrizheti a megjelölt elemekre választott összeg összesítését.</t>
  </si>
  <si>
    <t>Prémium Önkéntes Nyugdíjpénztár</t>
  </si>
  <si>
    <t>Budapest Orsz.Önk. Kölcs.Nyp.</t>
  </si>
  <si>
    <t>Dimenzió Önk.Kölcs.Egészségpénztár</t>
  </si>
  <si>
    <t>Honvéd Önk.Kölcs.Kieg. Egészségbiztosító Pénztár</t>
  </si>
  <si>
    <t>Prémium Önk. Egészségpénztár</t>
  </si>
  <si>
    <t>96E-H12</t>
  </si>
  <si>
    <t>200E-D30-H12</t>
  </si>
  <si>
    <t>N4/I12</t>
  </si>
  <si>
    <t>A</t>
  </si>
  <si>
    <t>B</t>
  </si>
  <si>
    <t>C</t>
  </si>
  <si>
    <t>MIN</t>
  </si>
  <si>
    <t>0 – 201 769 Ft</t>
  </si>
  <si>
    <t>1 000 - 33 300       Ft/ gyermek</t>
  </si>
  <si>
    <t>100 000–271 400 Ft</t>
  </si>
  <si>
    <t>A munkaválalló által választott  4., 5., 6., 7., 11.  és 12. elemek nettó összértéke:</t>
  </si>
  <si>
    <r>
      <t xml:space="preserve">* </t>
    </r>
    <r>
      <rPr>
        <b/>
        <i/>
        <sz val="10"/>
        <rFont val="Arial"/>
        <family val="2"/>
      </rPr>
      <t>Magyarázat</t>
    </r>
    <r>
      <rPr>
        <sz val="10"/>
        <rFont val="Arial"/>
        <family val="2"/>
      </rPr>
      <t xml:space="preserve">: Az önkéntes kölcsönös biztosító pénztárakról szóló 1993. évi XCVI. törvény 12.§-a alapján a munkáltatónak minden munkavállalója részére azonos mértékű pénztári befizetést köteles teljesíteni, kivéve ha a munkavállaló ennek szüneteltetését kéri annak érdekében, hogy </t>
    </r>
    <r>
      <rPr>
        <b/>
        <sz val="10"/>
        <rFont val="Arial"/>
        <family val="2"/>
      </rPr>
      <t>a béren kívüli juttatási rendszerben más elemeket is választhasson</t>
    </r>
    <r>
      <rPr>
        <sz val="10"/>
        <rFont val="Arial"/>
        <family val="2"/>
      </rPr>
      <t>. Ez a szüneteltetési kérelem nem vonatkozik a VBKJ keretén kívüli munkáltatói hozzájárulás szüneteltetésére, azt a munkáltató továbbra is változatlan feltételek mellett juttatja.</t>
    </r>
  </si>
  <si>
    <r>
      <t xml:space="preserve">Kérem a munkáltatót, hogy jelen nyilatkozatom érvényességi ideje alatt kizárólag csak a </t>
    </r>
    <r>
      <rPr>
        <b/>
        <sz val="12"/>
        <rFont val="Arial"/>
        <family val="2"/>
      </rPr>
      <t>VBKJ keretben biztosított önkéntes pénztári elem vonatkozásában</t>
    </r>
    <r>
      <rPr>
        <sz val="12"/>
        <rFont val="Arial"/>
        <family val="2"/>
      </rPr>
      <t xml:space="preserve"> az önkéntes pénztárakba részemre nyújtandó egységes mértékű hozzájárulást szüneteltesse.* </t>
    </r>
  </si>
  <si>
    <r>
      <t xml:space="preserve">A 2016. év során bármely ok miatt keletkezett </t>
    </r>
    <r>
      <rPr>
        <b/>
        <sz val="12"/>
        <rFont val="Arial"/>
        <family val="2"/>
      </rPr>
      <t xml:space="preserve">maradványösszeget az 5., 6., 7. vagy 8. 9., 10. javadalmazási elemekre </t>
    </r>
    <r>
      <rPr>
        <sz val="12"/>
        <rFont val="Arial"/>
        <family val="2"/>
      </rPr>
      <t xml:space="preserve">lehet felhasználni. Kérjük, ezen elemek közül válasszon egyet, majd annak számát az alábbi négyszögbe írja be! (Kötelező kitölteni!) </t>
    </r>
  </si>
  <si>
    <t>MÁV ZRT.</t>
  </si>
  <si>
    <t>Cimbora Nyugdíjpénztár</t>
  </si>
  <si>
    <t>Danubius Önkéntes Nyugdíjpénztár</t>
  </si>
  <si>
    <t>Első Országos Iparszövetségi Nyp.</t>
  </si>
  <si>
    <t>Első Rendőri Kiegészítő Nyp.</t>
  </si>
  <si>
    <t>OTP Önkéntes Kieg.Nyp.</t>
  </si>
  <si>
    <t>Pannónia Nyugdíjpénztár (VIT Nyp.)</t>
  </si>
  <si>
    <t>Postás Nyugdíjpénztár</t>
  </si>
  <si>
    <t>NAVOSZ Egészségpénztár</t>
  </si>
  <si>
    <t>Allianz Hungáia Egészségpénztár</t>
  </si>
  <si>
    <r>
      <t>*Az</t>
    </r>
    <r>
      <rPr>
        <b/>
        <i/>
        <u val="single"/>
        <sz val="14"/>
        <color indexed="60"/>
        <rFont val="Arial"/>
        <family val="2"/>
      </rPr>
      <t xml:space="preserve"> iskolai Erzsébet-utalványnál</t>
    </r>
    <r>
      <rPr>
        <b/>
        <i/>
        <sz val="14"/>
        <color indexed="60"/>
        <rFont val="Arial"/>
        <family val="2"/>
      </rPr>
      <t xml:space="preserve"> a háttértábla kitöltésével adható meg a nettó összeg értéke.  A háttértábla a "választott nettó összeg" érték mezőbe való kattintással érhető el!</t>
    </r>
  </si>
  <si>
    <t>SPORTRENDEZVÉNYRE SZOLGÁLÓ BELÉPŐ</t>
  </si>
  <si>
    <t>KULTURÁLIS SZOLGÁLTATÁSRA SZOLGÁLÓ BELÉPŐ</t>
  </si>
  <si>
    <t>ÉTKEZÉSI ERZSÉBET-UTALVÁNY</t>
  </si>
  <si>
    <r>
      <rPr>
        <b/>
        <u val="single"/>
        <sz val="14"/>
        <color indexed="8"/>
        <rFont val="Arial"/>
        <family val="2"/>
      </rPr>
      <t>Kérjük, a kék színű mezőket szíveskedjen kitölteni!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A kék mezőkre lépve felugró üzenetek, figyelmeztetések segítik a kitöltésben.
A jobb felső sarokban az egyes  juttatások kiválasztása után látja a felhasznált keret összegét és üzenetet is arra vonatkozóan, hogy a keretét teljes egészében felhasználta vagy már túllépte, illetve mennyi még a felhasználható összeg!
Amennyiben valamennyi kék mezőt hibátlanul kitöltött, keretét teljes egészében felhasználta, a jobb felső részen, keretösszeg alatt kiírás jelzi, hogy                                           "</t>
    </r>
    <r>
      <rPr>
        <sz val="14"/>
        <color indexed="60"/>
        <rFont val="Arial"/>
        <family val="2"/>
      </rPr>
      <t>NYOMTATHATÓ A NYILATKOZAT !</t>
    </r>
    <r>
      <rPr>
        <sz val="14"/>
        <color indexed="8"/>
        <rFont val="Arial"/>
        <family val="2"/>
      </rPr>
      <t xml:space="preserve">" 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</si>
</sst>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_F_t"/>
    <numFmt numFmtId="166" formatCode="#,##0.00\ &quot;Ft&quot;"/>
    <numFmt numFmtId="167" formatCode="0.000"/>
    <numFmt numFmtId="168" formatCode="0.0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#,##0\ _F_t"/>
    <numFmt numFmtId="174" formatCode="#,##0.0\ &quot;Ft&quot;"/>
    <numFmt numFmtId="175" formatCode="[$€-2]\ #\ ##,000_);[Red]\([$€-2]\ #\ ##,000\)"/>
    <numFmt numFmtId="176" formatCode="########"/>
    <numFmt numFmtId="177" formatCode="00000000\-0\-00"/>
    <numFmt numFmtId="178" formatCode="\8#######"/>
    <numFmt numFmtId="179" formatCode="0000000000"/>
    <numFmt numFmtId="180" formatCode="[$¥€-2]\ #\ ##,000_);[Red]\([$€-2]\ #\ ##,000\)"/>
    <numFmt numFmtId="181" formatCode="&quot;H-&quot;0000"/>
    <numFmt numFmtId="182" formatCode="#,##0.0000\ &quot;Ft&quot;"/>
    <numFmt numFmtId="183" formatCode="#,##0.000\ &quot;Ft&quot;"/>
  </numFmts>
  <fonts count="1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1"/>
      <color indexed="53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2"/>
      <color indexed="54"/>
      <name val="Arial"/>
      <family val="2"/>
    </font>
    <font>
      <b/>
      <sz val="12"/>
      <color indexed="53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43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11"/>
      <name val="Times New Roman"/>
      <family val="1"/>
    </font>
    <font>
      <b/>
      <i/>
      <sz val="12"/>
      <color indexed="18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Arial"/>
      <family val="2"/>
    </font>
    <font>
      <b/>
      <sz val="14"/>
      <color indexed="9"/>
      <name val="Times New Roman"/>
      <family val="1"/>
    </font>
    <font>
      <b/>
      <i/>
      <sz val="12"/>
      <name val="Arial"/>
      <family val="2"/>
    </font>
    <font>
      <b/>
      <i/>
      <sz val="16"/>
      <color indexed="18"/>
      <name val="Arial"/>
      <family val="2"/>
    </font>
    <font>
      <b/>
      <i/>
      <sz val="16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name val="Times New Roman"/>
      <family val="1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4"/>
      <color indexed="60"/>
      <name val="Arial"/>
      <family val="2"/>
    </font>
    <font>
      <b/>
      <i/>
      <u val="single"/>
      <sz val="14"/>
      <color indexed="60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u val="single"/>
      <sz val="14"/>
      <color indexed="8"/>
      <name val="Arial"/>
      <family val="2"/>
    </font>
    <font>
      <b/>
      <i/>
      <sz val="10"/>
      <name val="Arial"/>
      <family val="2"/>
    </font>
    <font>
      <sz val="14"/>
      <color indexed="60"/>
      <name val="Arial"/>
      <family val="2"/>
    </font>
    <font>
      <b/>
      <sz val="11.5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sz val="10"/>
      <color indexed="60"/>
      <name val="Arial"/>
      <family val="2"/>
    </font>
    <font>
      <b/>
      <sz val="16"/>
      <color indexed="30"/>
      <name val="Times New Roman"/>
      <family val="1"/>
    </font>
    <font>
      <b/>
      <sz val="16"/>
      <color indexed="3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4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30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1.5"/>
      <color indexed="60"/>
      <name val="Arial"/>
      <family val="2"/>
    </font>
    <font>
      <b/>
      <u val="double"/>
      <sz val="13"/>
      <color indexed="10"/>
      <name val="Arial"/>
      <family val="2"/>
    </font>
    <font>
      <b/>
      <u val="single"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6"/>
      <color theme="1"/>
      <name val="Arial"/>
      <family val="2"/>
    </font>
    <font>
      <b/>
      <sz val="12"/>
      <color theme="9" tint="-0.24997000396251678"/>
      <name val="Arial"/>
      <family val="2"/>
    </font>
    <font>
      <sz val="10"/>
      <color rgb="FFC00000"/>
      <name val="Arial"/>
      <family val="2"/>
    </font>
    <font>
      <b/>
      <sz val="12"/>
      <color theme="1" tint="0.04998999834060669"/>
      <name val="Arial"/>
      <family val="2"/>
    </font>
    <font>
      <b/>
      <sz val="16"/>
      <color rgb="FF0070C0"/>
      <name val="Times New Roman"/>
      <family val="1"/>
    </font>
    <font>
      <b/>
      <sz val="16"/>
      <color rgb="FF0070C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 tint="0.04998999834060669"/>
      <name val="Arial"/>
      <family val="2"/>
    </font>
    <font>
      <b/>
      <i/>
      <sz val="12"/>
      <color theme="1" tint="0.04998999834060669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u val="double"/>
      <sz val="13"/>
      <color rgb="FFFF0000"/>
      <name val="Arial"/>
      <family val="2"/>
    </font>
    <font>
      <b/>
      <sz val="11.5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C00000"/>
      <name val="Arial"/>
      <family val="2"/>
    </font>
    <font>
      <b/>
      <u val="single"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theme="5" tint="-0.24997000396251678"/>
      <name val="Arial"/>
      <family val="2"/>
    </font>
    <font>
      <b/>
      <u val="single"/>
      <sz val="11"/>
      <color theme="1"/>
      <name val="Arial"/>
      <family val="2"/>
    </font>
    <font>
      <sz val="14"/>
      <color theme="1"/>
      <name val="Arial"/>
      <family val="2"/>
    </font>
    <font>
      <b/>
      <i/>
      <sz val="14"/>
      <color rgb="FFC00000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6"/>
      <color rgb="FFC00000"/>
      <name val="Arial"/>
      <family val="2"/>
    </font>
  </fonts>
  <fills count="1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type="path" left="1" right="1">
        <stop position="0">
          <color theme="0"/>
        </stop>
        <stop position="1">
          <color rgb="FFFFFFCC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 tint="-0.0509600006043911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  <fill>
      <gradientFill type="path" left="0.5" right="0.5" top="0.5" bottom="0.5">
        <stop position="0">
          <color rgb="FFFFFFCC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9" tint="0.5999900102615356"/>
        </stop>
      </gradient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CECEC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0C0C0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9" tint="0.5999900102615356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degree="90">
        <stop position="0">
          <color theme="0" tint="-0.0509600006043911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7" fillId="19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0" fillId="21" borderId="7" applyNumberFormat="0" applyFont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15" fillId="28" borderId="0" applyNumberFormat="0" applyBorder="0" applyAlignment="0" applyProtection="0"/>
    <xf numFmtId="0" fontId="116" fillId="29" borderId="8" applyNumberFormat="0" applyAlignment="0" applyProtection="0"/>
    <xf numFmtId="0" fontId="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5" fillId="0" borderId="0">
      <alignment/>
      <protection/>
    </xf>
    <xf numFmtId="0" fontId="1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0" borderId="0" applyNumberFormat="0" applyBorder="0" applyAlignment="0" applyProtection="0"/>
    <xf numFmtId="0" fontId="120" fillId="31" borderId="0" applyNumberFormat="0" applyBorder="0" applyAlignment="0" applyProtection="0"/>
    <xf numFmtId="0" fontId="121" fillId="29" borderId="1" applyNumberFormat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 hidden="1"/>
    </xf>
    <xf numFmtId="0" fontId="10" fillId="32" borderId="10" xfId="0" applyFont="1" applyFill="1" applyBorder="1" applyAlignment="1" applyProtection="1">
      <alignment vertical="center"/>
      <protection hidden="1"/>
    </xf>
    <xf numFmtId="0" fontId="11" fillId="32" borderId="10" xfId="0" applyFont="1" applyFill="1" applyBorder="1" applyAlignment="1" applyProtection="1">
      <alignment vertical="center"/>
      <protection hidden="1"/>
    </xf>
    <xf numFmtId="0" fontId="8" fillId="32" borderId="10" xfId="0" applyFont="1" applyFill="1" applyBorder="1" applyAlignment="1" applyProtection="1">
      <alignment vertical="center"/>
      <protection hidden="1"/>
    </xf>
    <xf numFmtId="164" fontId="8" fillId="32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32" borderId="1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164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64" fontId="9" fillId="34" borderId="10" xfId="0" applyNumberFormat="1" applyFont="1" applyFill="1" applyBorder="1" applyAlignment="1" applyProtection="1">
      <alignment horizontal="right"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9" fillId="34" borderId="12" xfId="0" applyFont="1" applyFill="1" applyBorder="1" applyAlignment="1" applyProtection="1">
      <alignment vertical="center"/>
      <protection hidden="1"/>
    </xf>
    <xf numFmtId="0" fontId="18" fillId="34" borderId="10" xfId="0" applyFont="1" applyFill="1" applyBorder="1" applyAlignment="1" applyProtection="1">
      <alignment horizontal="center"/>
      <protection hidden="1"/>
    </xf>
    <xf numFmtId="0" fontId="18" fillId="34" borderId="13" xfId="0" applyFont="1" applyFill="1" applyBorder="1" applyAlignment="1" applyProtection="1">
      <alignment horizontal="center"/>
      <protection hidden="1"/>
    </xf>
    <xf numFmtId="0" fontId="18" fillId="34" borderId="14" xfId="0" applyFont="1" applyFill="1" applyBorder="1" applyAlignment="1" applyProtection="1">
      <alignment horizontal="center"/>
      <protection hidden="1"/>
    </xf>
    <xf numFmtId="164" fontId="9" fillId="34" borderId="13" xfId="0" applyNumberFormat="1" applyFont="1" applyFill="1" applyBorder="1" applyAlignment="1" applyProtection="1">
      <alignment horizontal="right" vertical="center"/>
      <protection hidden="1"/>
    </xf>
    <xf numFmtId="164" fontId="9" fillId="34" borderId="14" xfId="0" applyNumberFormat="1" applyFont="1" applyFill="1" applyBorder="1" applyAlignment="1" applyProtection="1">
      <alignment horizontal="right" vertical="center"/>
      <protection hidden="1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18" fillId="32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8" fillId="32" borderId="10" xfId="0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vertical="top" wrapText="1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vertical="center" wrapText="1"/>
      <protection hidden="1"/>
    </xf>
    <xf numFmtId="0" fontId="18" fillId="34" borderId="17" xfId="0" applyFont="1" applyFill="1" applyBorder="1" applyAlignment="1" applyProtection="1">
      <alignment horizontal="center"/>
      <protection hidden="1"/>
    </xf>
    <xf numFmtId="164" fontId="9" fillId="34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hidden="1"/>
    </xf>
    <xf numFmtId="164" fontId="21" fillId="0" borderId="0" xfId="0" applyNumberFormat="1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 hidden="1"/>
    </xf>
    <xf numFmtId="164" fontId="9" fillId="34" borderId="18" xfId="0" applyNumberFormat="1" applyFont="1" applyFill="1" applyBorder="1" applyAlignment="1" applyProtection="1">
      <alignment horizontal="right" vertical="center"/>
      <protection hidden="1"/>
    </xf>
    <xf numFmtId="0" fontId="18" fillId="32" borderId="19" xfId="0" applyFont="1" applyFill="1" applyBorder="1" applyAlignment="1" applyProtection="1">
      <alignment horizontal="center" vertical="center"/>
      <protection hidden="1"/>
    </xf>
    <xf numFmtId="0" fontId="18" fillId="34" borderId="20" xfId="0" applyFont="1" applyFill="1" applyBorder="1" applyAlignment="1" applyProtection="1">
      <alignment horizontal="center"/>
      <protection hidden="1"/>
    </xf>
    <xf numFmtId="0" fontId="11" fillId="32" borderId="21" xfId="0" applyFont="1" applyFill="1" applyBorder="1" applyAlignment="1" applyProtection="1">
      <alignment vertical="center"/>
      <protection hidden="1"/>
    </xf>
    <xf numFmtId="0" fontId="6" fillId="32" borderId="21" xfId="0" applyFont="1" applyFill="1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49" fontId="6" fillId="32" borderId="23" xfId="0" applyNumberFormat="1" applyFont="1" applyFill="1" applyBorder="1" applyAlignment="1" applyProtection="1">
      <alignment horizontal="right" vertical="center"/>
      <protection hidden="1"/>
    </xf>
    <xf numFmtId="0" fontId="18" fillId="32" borderId="22" xfId="0" applyFont="1" applyFill="1" applyBorder="1" applyAlignment="1" applyProtection="1">
      <alignment horizontal="center" vertical="center"/>
      <protection hidden="1"/>
    </xf>
    <xf numFmtId="0" fontId="18" fillId="34" borderId="23" xfId="0" applyFont="1" applyFill="1" applyBorder="1" applyAlignment="1" applyProtection="1">
      <alignment horizontal="center"/>
      <protection hidden="1"/>
    </xf>
    <xf numFmtId="0" fontId="11" fillId="32" borderId="23" xfId="0" applyFont="1" applyFill="1" applyBorder="1" applyAlignment="1" applyProtection="1">
      <alignment vertical="center"/>
      <protection hidden="1"/>
    </xf>
    <xf numFmtId="0" fontId="8" fillId="32" borderId="21" xfId="0" applyFont="1" applyFill="1" applyBorder="1" applyAlignment="1" applyProtection="1">
      <alignment vertical="center"/>
      <protection hidden="1"/>
    </xf>
    <xf numFmtId="0" fontId="11" fillId="32" borderId="24" xfId="0" applyFont="1" applyFill="1" applyBorder="1" applyAlignment="1" applyProtection="1">
      <alignment vertical="center"/>
      <protection hidden="1"/>
    </xf>
    <xf numFmtId="0" fontId="18" fillId="32" borderId="23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3" fillId="35" borderId="25" xfId="0" applyFont="1" applyFill="1" applyBorder="1" applyAlignment="1" applyProtection="1">
      <alignment vertical="center"/>
      <protection hidden="1"/>
    </xf>
    <xf numFmtId="0" fontId="17" fillId="35" borderId="26" xfId="0" applyFont="1" applyFill="1" applyBorder="1" applyAlignment="1" applyProtection="1">
      <alignment vertical="center"/>
      <protection hidden="1"/>
    </xf>
    <xf numFmtId="164" fontId="9" fillId="34" borderId="23" xfId="0" applyNumberFormat="1" applyFont="1" applyFill="1" applyBorder="1" applyAlignment="1" applyProtection="1">
      <alignment horizontal="right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164" fontId="9" fillId="34" borderId="28" xfId="0" applyNumberFormat="1" applyFont="1" applyFill="1" applyBorder="1" applyAlignment="1" applyProtection="1">
      <alignment horizontal="right" vertical="center"/>
      <protection hidden="1"/>
    </xf>
    <xf numFmtId="164" fontId="9" fillId="34" borderId="27" xfId="0" applyNumberFormat="1" applyFont="1" applyFill="1" applyBorder="1" applyAlignment="1" applyProtection="1">
      <alignment horizontal="right" vertical="center"/>
      <protection hidden="1"/>
    </xf>
    <xf numFmtId="164" fontId="9" fillId="34" borderId="26" xfId="0" applyNumberFormat="1" applyFont="1" applyFill="1" applyBorder="1" applyAlignment="1" applyProtection="1">
      <alignment horizontal="right" vertical="center"/>
      <protection hidden="1"/>
    </xf>
    <xf numFmtId="164" fontId="9" fillId="34" borderId="28" xfId="0" applyNumberFormat="1" applyFont="1" applyFill="1" applyBorder="1" applyAlignment="1" applyProtection="1">
      <alignment/>
      <protection hidden="1"/>
    </xf>
    <xf numFmtId="164" fontId="9" fillId="32" borderId="0" xfId="0" applyNumberFormat="1" applyFont="1" applyFill="1" applyBorder="1" applyAlignment="1" applyProtection="1">
      <alignment horizontal="right" vertical="center"/>
      <protection hidden="1"/>
    </xf>
    <xf numFmtId="164" fontId="7" fillId="4" borderId="10" xfId="0" applyNumberFormat="1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164" fontId="7" fillId="4" borderId="14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0" fillId="36" borderId="29" xfId="0" applyFont="1" applyFill="1" applyBorder="1" applyAlignment="1" applyProtection="1">
      <alignment horizontal="left" vertical="center"/>
      <protection hidden="1"/>
    </xf>
    <xf numFmtId="164" fontId="13" fillId="36" borderId="15" xfId="0" applyNumberFormat="1" applyFont="1" applyFill="1" applyBorder="1" applyAlignment="1" applyProtection="1">
      <alignment horizontal="center" vertical="center"/>
      <protection hidden="1"/>
    </xf>
    <xf numFmtId="164" fontId="7" fillId="4" borderId="10" xfId="0" applyNumberFormat="1" applyFont="1" applyFill="1" applyBorder="1" applyAlignment="1" applyProtection="1">
      <alignment/>
      <protection hidden="1"/>
    </xf>
    <xf numFmtId="0" fontId="7" fillId="4" borderId="28" xfId="0" applyFont="1" applyFill="1" applyBorder="1" applyAlignment="1" applyProtection="1">
      <alignment horizontal="right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164" fontId="32" fillId="0" borderId="30" xfId="0" applyNumberFormat="1" applyFont="1" applyFill="1" applyBorder="1" applyAlignment="1" applyProtection="1">
      <alignment/>
      <protection hidden="1" locked="0"/>
    </xf>
    <xf numFmtId="164" fontId="32" fillId="0" borderId="30" xfId="0" applyNumberFormat="1" applyFont="1" applyFill="1" applyBorder="1" applyAlignment="1" applyProtection="1">
      <alignment/>
      <protection hidden="1"/>
    </xf>
    <xf numFmtId="164" fontId="12" fillId="0" borderId="31" xfId="0" applyNumberFormat="1" applyFont="1" applyFill="1" applyBorder="1" applyAlignment="1" applyProtection="1">
      <alignment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10" fillId="32" borderId="33" xfId="0" applyFont="1" applyFill="1" applyBorder="1" applyAlignment="1" applyProtection="1">
      <alignment vertical="center"/>
      <protection hidden="1"/>
    </xf>
    <xf numFmtId="0" fontId="13" fillId="35" borderId="11" xfId="0" applyFont="1" applyFill="1" applyBorder="1" applyAlignment="1" applyProtection="1">
      <alignment vertical="center"/>
      <protection hidden="1"/>
    </xf>
    <xf numFmtId="164" fontId="1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164" fontId="25" fillId="35" borderId="11" xfId="0" applyNumberFormat="1" applyFont="1" applyFill="1" applyBorder="1" applyAlignment="1" applyProtection="1">
      <alignment vertical="center" wrapText="1"/>
      <protection hidden="1"/>
    </xf>
    <xf numFmtId="0" fontId="8" fillId="32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32" borderId="35" xfId="0" applyFont="1" applyFill="1" applyBorder="1" applyAlignment="1" applyProtection="1">
      <alignment horizontal="center" vertical="center"/>
      <protection hidden="1"/>
    </xf>
    <xf numFmtId="0" fontId="0" fillId="35" borderId="36" xfId="0" applyFont="1" applyFill="1" applyBorder="1" applyAlignment="1" applyProtection="1">
      <alignment horizontal="right" vertical="center"/>
      <protection hidden="1"/>
    </xf>
    <xf numFmtId="164" fontId="9" fillId="32" borderId="20" xfId="0" applyNumberFormat="1" applyFont="1" applyFill="1" applyBorder="1" applyAlignment="1" applyProtection="1">
      <alignment horizontal="right" vertical="center" shrinkToFit="1"/>
      <protection hidden="1"/>
    </xf>
    <xf numFmtId="164" fontId="9" fillId="0" borderId="23" xfId="0" applyNumberFormat="1" applyFont="1" applyFill="1" applyBorder="1" applyAlignment="1" applyProtection="1">
      <alignment horizontal="right" vertical="center" shrinkToFit="1"/>
      <protection hidden="1"/>
    </xf>
    <xf numFmtId="164" fontId="9" fillId="32" borderId="23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3" fillId="35" borderId="37" xfId="0" applyFont="1" applyFill="1" applyBorder="1" applyAlignment="1" applyProtection="1">
      <alignment horizontal="center"/>
      <protection hidden="1"/>
    </xf>
    <xf numFmtId="164" fontId="9" fillId="35" borderId="37" xfId="0" applyNumberFormat="1" applyFont="1" applyFill="1" applyBorder="1" applyAlignment="1" applyProtection="1">
      <alignment horizontal="right" vertical="center"/>
      <protection hidden="1"/>
    </xf>
    <xf numFmtId="164" fontId="26" fillId="35" borderId="37" xfId="0" applyNumberFormat="1" applyFont="1" applyFill="1" applyBorder="1" applyAlignment="1" applyProtection="1">
      <alignment horizontal="right" vertical="center"/>
      <protection hidden="1"/>
    </xf>
    <xf numFmtId="164" fontId="7" fillId="37" borderId="23" xfId="0" applyNumberFormat="1" applyFont="1" applyFill="1" applyBorder="1" applyAlignment="1" applyProtection="1">
      <alignment horizontal="right" vertical="center"/>
      <protection hidden="1" locked="0"/>
    </xf>
    <xf numFmtId="0" fontId="34" fillId="32" borderId="0" xfId="0" applyFont="1" applyFill="1" applyAlignment="1" applyProtection="1">
      <alignment/>
      <protection hidden="1"/>
    </xf>
    <xf numFmtId="164" fontId="28" fillId="38" borderId="23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 hidden="1"/>
    </xf>
    <xf numFmtId="0" fontId="30" fillId="35" borderId="11" xfId="0" applyFont="1" applyFill="1" applyBorder="1" applyAlignment="1" applyProtection="1">
      <alignment vertical="center"/>
      <protection hidden="1"/>
    </xf>
    <xf numFmtId="0" fontId="30" fillId="35" borderId="38" xfId="0" applyFont="1" applyFill="1" applyBorder="1" applyAlignment="1" applyProtection="1">
      <alignment vertical="center"/>
      <protection hidden="1"/>
    </xf>
    <xf numFmtId="0" fontId="15" fillId="0" borderId="39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 wrapText="1"/>
      <protection hidden="1"/>
    </xf>
    <xf numFmtId="0" fontId="15" fillId="0" borderId="41" xfId="0" applyFont="1" applyFill="1" applyBorder="1" applyAlignment="1" applyProtection="1">
      <alignment wrapText="1"/>
      <protection hidden="1"/>
    </xf>
    <xf numFmtId="0" fontId="31" fillId="0" borderId="41" xfId="0" applyFont="1" applyFill="1" applyBorder="1" applyAlignment="1" applyProtection="1">
      <alignment wrapText="1"/>
      <protection hidden="1"/>
    </xf>
    <xf numFmtId="0" fontId="31" fillId="0" borderId="0" xfId="0" applyFont="1" applyFill="1" applyBorder="1" applyAlignment="1" applyProtection="1">
      <alignment wrapText="1"/>
      <protection hidden="1"/>
    </xf>
    <xf numFmtId="49" fontId="6" fillId="32" borderId="42" xfId="0" applyNumberFormat="1" applyFont="1" applyFill="1" applyBorder="1" applyAlignment="1" applyProtection="1">
      <alignment horizontal="right" vertical="center"/>
      <protection hidden="1"/>
    </xf>
    <xf numFmtId="0" fontId="11" fillId="32" borderId="43" xfId="0" applyFont="1" applyFill="1" applyBorder="1" applyAlignment="1" applyProtection="1">
      <alignment vertical="center"/>
      <protection hidden="1"/>
    </xf>
    <xf numFmtId="0" fontId="8" fillId="32" borderId="21" xfId="0" applyFont="1" applyFill="1" applyBorder="1" applyAlignment="1" applyProtection="1">
      <alignment horizontal="center" vertical="center"/>
      <protection hidden="1"/>
    </xf>
    <xf numFmtId="0" fontId="35" fillId="0" borderId="40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0" fontId="35" fillId="0" borderId="44" xfId="0" applyFont="1" applyBorder="1" applyAlignment="1">
      <alignment wrapText="1"/>
    </xf>
    <xf numFmtId="0" fontId="23" fillId="4" borderId="45" xfId="43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/>
      <protection hidden="1"/>
    </xf>
    <xf numFmtId="0" fontId="29" fillId="0" borderId="0" xfId="0" applyFont="1" applyAlignment="1">
      <alignment wrapText="1"/>
    </xf>
    <xf numFmtId="0" fontId="1" fillId="0" borderId="0" xfId="43" applyAlignment="1" applyProtection="1">
      <alignment/>
      <protection/>
    </xf>
    <xf numFmtId="0" fontId="35" fillId="0" borderId="41" xfId="0" applyFont="1" applyBorder="1" applyAlignment="1">
      <alignment horizontal="left" vertical="top"/>
    </xf>
    <xf numFmtId="0" fontId="35" fillId="0" borderId="40" xfId="0" applyFont="1" applyBorder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8" fillId="0" borderId="46" xfId="0" applyFont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9" fillId="34" borderId="10" xfId="0" applyFont="1" applyFill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29" xfId="0" applyFont="1" applyBorder="1" applyAlignment="1" applyProtection="1">
      <alignment vertical="center" wrapText="1"/>
      <protection hidden="1"/>
    </xf>
    <xf numFmtId="164" fontId="7" fillId="32" borderId="10" xfId="0" applyNumberFormat="1" applyFont="1" applyFill="1" applyBorder="1" applyAlignment="1" applyProtection="1">
      <alignment horizontal="right" vertical="center" shrinkToFit="1"/>
      <protection hidden="1"/>
    </xf>
    <xf numFmtId="0" fontId="18" fillId="32" borderId="47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wrapText="1"/>
      <protection hidden="1"/>
    </xf>
    <xf numFmtId="0" fontId="35" fillId="0" borderId="48" xfId="0" applyFont="1" applyBorder="1" applyAlignment="1">
      <alignment wrapText="1"/>
    </xf>
    <xf numFmtId="0" fontId="8" fillId="32" borderId="49" xfId="0" applyFont="1" applyFill="1" applyBorder="1" applyAlignment="1" applyProtection="1">
      <alignment horizontal="center" vertical="center"/>
      <protection hidden="1"/>
    </xf>
    <xf numFmtId="0" fontId="8" fillId="32" borderId="13" xfId="0" applyFont="1" applyFill="1" applyBorder="1" applyAlignment="1" applyProtection="1">
      <alignment horizontal="center" vertical="center"/>
      <protection hidden="1"/>
    </xf>
    <xf numFmtId="0" fontId="10" fillId="32" borderId="13" xfId="0" applyFont="1" applyFill="1" applyBorder="1" applyAlignment="1" applyProtection="1">
      <alignment vertical="center"/>
      <protection hidden="1"/>
    </xf>
    <xf numFmtId="0" fontId="122" fillId="32" borderId="0" xfId="0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39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49" fontId="6" fillId="0" borderId="23" xfId="0" applyNumberFormat="1" applyFont="1" applyFill="1" applyBorder="1" applyAlignment="1" applyProtection="1">
      <alignment horizontal="right" vertical="center"/>
      <protection hidden="1"/>
    </xf>
    <xf numFmtId="49" fontId="6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2" fillId="0" borderId="39" xfId="0" applyFont="1" applyBorder="1" applyAlignment="1" applyProtection="1">
      <alignment horizontal="center"/>
      <protection hidden="1"/>
    </xf>
    <xf numFmtId="164" fontId="25" fillId="21" borderId="17" xfId="0" applyNumberFormat="1" applyFont="1" applyFill="1" applyBorder="1" applyAlignment="1" applyProtection="1">
      <alignment horizontal="center" vertical="center" wrapText="1"/>
      <protection hidden="1"/>
    </xf>
    <xf numFmtId="164" fontId="28" fillId="21" borderId="23" xfId="0" applyNumberFormat="1" applyFont="1" applyFill="1" applyBorder="1" applyAlignment="1" applyProtection="1">
      <alignment horizontal="right" vertical="center"/>
      <protection hidden="1"/>
    </xf>
    <xf numFmtId="164" fontId="28" fillId="21" borderId="20" xfId="0" applyNumberFormat="1" applyFont="1" applyFill="1" applyBorder="1" applyAlignment="1" applyProtection="1">
      <alignment horizontal="right" vertical="center"/>
      <protection hidden="1"/>
    </xf>
    <xf numFmtId="0" fontId="8" fillId="0" borderId="33" xfId="0" applyFont="1" applyFill="1" applyBorder="1" applyAlignment="1" applyProtection="1">
      <alignment horizontal="left" vertical="center"/>
      <protection hidden="1"/>
    </xf>
    <xf numFmtId="164" fontId="12" fillId="21" borderId="15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40" xfId="0" applyFont="1" applyBorder="1" applyAlignment="1">
      <alignment horizontal="left" vertical="top"/>
    </xf>
    <xf numFmtId="164" fontId="123" fillId="0" borderId="0" xfId="0" applyNumberFormat="1" applyFont="1" applyBorder="1" applyAlignment="1" applyProtection="1">
      <alignment vertical="center"/>
      <protection hidden="1"/>
    </xf>
    <xf numFmtId="0" fontId="124" fillId="0" borderId="0" xfId="0" applyFont="1" applyAlignment="1">
      <alignment/>
    </xf>
    <xf numFmtId="49" fontId="6" fillId="0" borderId="23" xfId="0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NumberFormat="1" applyAlignment="1">
      <alignment/>
    </xf>
    <xf numFmtId="164" fontId="9" fillId="35" borderId="37" xfId="0" applyNumberFormat="1" applyFont="1" applyFill="1" applyBorder="1" applyAlignment="1" applyProtection="1">
      <alignment horizontal="right" vertical="center" shrinkToFit="1"/>
      <protection hidden="1"/>
    </xf>
    <xf numFmtId="164" fontId="34" fillId="32" borderId="0" xfId="0" applyNumberFormat="1" applyFont="1" applyFill="1" applyAlignment="1" applyProtection="1">
      <alignment/>
      <protection hidden="1"/>
    </xf>
    <xf numFmtId="0" fontId="125" fillId="0" borderId="0" xfId="0" applyFont="1" applyFill="1" applyBorder="1" applyAlignment="1" applyProtection="1">
      <alignment vertical="center"/>
      <protection hidden="1"/>
    </xf>
    <xf numFmtId="0" fontId="8" fillId="40" borderId="50" xfId="0" applyFont="1" applyFill="1" applyBorder="1" applyAlignment="1" applyProtection="1">
      <alignment horizontal="center" vertical="center"/>
      <protection hidden="1"/>
    </xf>
    <xf numFmtId="164" fontId="7" fillId="41" borderId="23" xfId="0" applyNumberFormat="1" applyFont="1" applyFill="1" applyBorder="1" applyAlignment="1" applyProtection="1">
      <alignment horizontal="right" vertical="center"/>
      <protection hidden="1" locked="0"/>
    </xf>
    <xf numFmtId="164" fontId="7" fillId="42" borderId="20" xfId="0" applyNumberFormat="1" applyFont="1" applyFill="1" applyBorder="1" applyAlignment="1" applyProtection="1">
      <alignment horizontal="right" vertical="center"/>
      <protection hidden="1" locked="0"/>
    </xf>
    <xf numFmtId="1" fontId="5" fillId="43" borderId="51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44" borderId="15" xfId="0" applyFont="1" applyFill="1" applyBorder="1" applyAlignment="1" applyProtection="1">
      <alignment vertical="center"/>
      <protection hidden="1"/>
    </xf>
    <xf numFmtId="0" fontId="45" fillId="45" borderId="52" xfId="0" applyFont="1" applyFill="1" applyBorder="1" applyAlignment="1" applyProtection="1">
      <alignment vertical="center"/>
      <protection hidden="1"/>
    </xf>
    <xf numFmtId="164" fontId="5" fillId="46" borderId="53" xfId="0" applyNumberFormat="1" applyFont="1" applyFill="1" applyBorder="1" applyAlignment="1" applyProtection="1">
      <alignment vertical="center"/>
      <protection hidden="1"/>
    </xf>
    <xf numFmtId="0" fontId="126" fillId="0" borderId="52" xfId="0" applyFont="1" applyBorder="1" applyAlignment="1" applyProtection="1">
      <alignment vertical="center"/>
      <protection hidden="1"/>
    </xf>
    <xf numFmtId="164" fontId="127" fillId="0" borderId="53" xfId="0" applyNumberFormat="1" applyFont="1" applyFill="1" applyBorder="1" applyAlignment="1" applyProtection="1">
      <alignment vertical="center"/>
      <protection hidden="1"/>
    </xf>
    <xf numFmtId="0" fontId="45" fillId="47" borderId="54" xfId="0" applyFont="1" applyFill="1" applyBorder="1" applyAlignment="1" applyProtection="1">
      <alignment vertical="center"/>
      <protection hidden="1"/>
    </xf>
    <xf numFmtId="0" fontId="6" fillId="48" borderId="55" xfId="0" applyFont="1" applyFill="1" applyBorder="1" applyAlignment="1" applyProtection="1">
      <alignment vertical="top" wrapText="1"/>
      <protection hidden="1"/>
    </xf>
    <xf numFmtId="0" fontId="7" fillId="48" borderId="56" xfId="0" applyFont="1" applyFill="1" applyBorder="1" applyAlignment="1" applyProtection="1">
      <alignment horizontal="left" vertical="top" wrapText="1"/>
      <protection hidden="1"/>
    </xf>
    <xf numFmtId="0" fontId="0" fillId="48" borderId="57" xfId="0" applyFont="1" applyFill="1" applyBorder="1" applyAlignment="1" applyProtection="1">
      <alignment horizontal="right" vertical="center"/>
      <protection hidden="1"/>
    </xf>
    <xf numFmtId="0" fontId="0" fillId="48" borderId="58" xfId="0" applyFont="1" applyFill="1" applyBorder="1" applyAlignment="1" applyProtection="1">
      <alignment horizontal="right" vertical="center"/>
      <protection hidden="1"/>
    </xf>
    <xf numFmtId="0" fontId="6" fillId="48" borderId="29" xfId="0" applyFont="1" applyFill="1" applyBorder="1" applyAlignment="1" applyProtection="1">
      <alignment vertical="top" wrapText="1"/>
      <protection hidden="1"/>
    </xf>
    <xf numFmtId="0" fontId="7" fillId="49" borderId="28" xfId="0" applyFont="1" applyFill="1" applyBorder="1" applyAlignment="1" applyProtection="1">
      <alignment horizontal="right" vertical="center"/>
      <protection hidden="1"/>
    </xf>
    <xf numFmtId="0" fontId="7" fillId="50" borderId="12" xfId="0" applyFont="1" applyFill="1" applyBorder="1" applyAlignment="1" applyProtection="1">
      <alignment horizontal="center" vertical="center"/>
      <protection hidden="1"/>
    </xf>
    <xf numFmtId="164" fontId="7" fillId="51" borderId="10" xfId="0" applyNumberFormat="1" applyFont="1" applyFill="1" applyBorder="1" applyAlignment="1" applyProtection="1">
      <alignment vertical="center"/>
      <protection hidden="1"/>
    </xf>
    <xf numFmtId="164" fontId="7" fillId="52" borderId="59" xfId="0" applyNumberFormat="1" applyFont="1" applyFill="1" applyBorder="1" applyAlignment="1" applyProtection="1">
      <alignment vertical="center"/>
      <protection hidden="1" locked="0"/>
    </xf>
    <xf numFmtId="0" fontId="7" fillId="53" borderId="10" xfId="0" applyFont="1" applyFill="1" applyBorder="1" applyAlignment="1" applyProtection="1">
      <alignment horizontal="center" vertical="center" wrapText="1"/>
      <protection hidden="1"/>
    </xf>
    <xf numFmtId="164" fontId="7" fillId="53" borderId="10" xfId="0" applyNumberFormat="1" applyFont="1" applyFill="1" applyBorder="1" applyAlignment="1" applyProtection="1">
      <alignment vertical="center"/>
      <protection hidden="1"/>
    </xf>
    <xf numFmtId="164" fontId="46" fillId="54" borderId="60" xfId="0" applyNumberFormat="1" applyFont="1" applyFill="1" applyBorder="1" applyAlignment="1" applyProtection="1">
      <alignment vertical="center"/>
      <protection hidden="1"/>
    </xf>
    <xf numFmtId="164" fontId="128" fillId="0" borderId="0" xfId="0" applyNumberFormat="1" applyFont="1" applyFill="1" applyBorder="1" applyAlignment="1" applyProtection="1">
      <alignment vertical="center"/>
      <protection hidden="1"/>
    </xf>
    <xf numFmtId="49" fontId="9" fillId="55" borderId="10" xfId="0" applyNumberFormat="1" applyFont="1" applyFill="1" applyBorder="1" applyAlignment="1" applyProtection="1">
      <alignment horizontal="left" vertical="center"/>
      <protection hidden="1" locked="0"/>
    </xf>
    <xf numFmtId="14" fontId="9" fillId="56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NumberFormat="1" applyFont="1" applyAlignment="1">
      <alignment vertical="center" wrapText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29" fillId="0" borderId="0" xfId="0" applyFont="1" applyBorder="1" applyAlignment="1" applyProtection="1">
      <alignment vertical="center"/>
      <protection hidden="1"/>
    </xf>
    <xf numFmtId="164" fontId="129" fillId="0" borderId="0" xfId="0" applyNumberFormat="1" applyFont="1" applyBorder="1" applyAlignment="1" applyProtection="1">
      <alignment vertical="center"/>
      <protection hidden="1"/>
    </xf>
    <xf numFmtId="0" fontId="130" fillId="0" borderId="0" xfId="0" applyFont="1" applyBorder="1" applyAlignment="1" applyProtection="1">
      <alignment vertical="center"/>
      <protection hidden="1"/>
    </xf>
    <xf numFmtId="164" fontId="130" fillId="0" borderId="0" xfId="0" applyNumberFormat="1" applyFont="1" applyBorder="1" applyAlignment="1" applyProtection="1">
      <alignment vertical="center"/>
      <protection hidden="1"/>
    </xf>
    <xf numFmtId="164" fontId="7" fillId="57" borderId="23" xfId="0" applyNumberFormat="1" applyFont="1" applyFill="1" applyBorder="1" applyAlignment="1" applyProtection="1">
      <alignment horizontal="right" vertical="center"/>
      <protection hidden="1" locked="0"/>
    </xf>
    <xf numFmtId="0" fontId="131" fillId="0" borderId="0" xfId="0" applyFont="1" applyBorder="1" applyAlignment="1" applyProtection="1">
      <alignment vertical="center"/>
      <protection hidden="1"/>
    </xf>
    <xf numFmtId="164" fontId="131" fillId="0" borderId="0" xfId="0" applyNumberFormat="1" applyFont="1" applyBorder="1" applyAlignment="1" applyProtection="1">
      <alignment vertical="center"/>
      <protection hidden="1"/>
    </xf>
    <xf numFmtId="164" fontId="131" fillId="0" borderId="0" xfId="0" applyNumberFormat="1" applyFont="1" applyFill="1" applyBorder="1" applyAlignment="1" applyProtection="1">
      <alignment vertical="center"/>
      <protection hidden="1"/>
    </xf>
    <xf numFmtId="0" fontId="131" fillId="0" borderId="0" xfId="0" applyFont="1" applyFill="1" applyBorder="1" applyAlignment="1" applyProtection="1">
      <alignment vertical="center"/>
      <protection hidden="1"/>
    </xf>
    <xf numFmtId="164" fontId="131" fillId="0" borderId="39" xfId="0" applyNumberFormat="1" applyFont="1" applyFill="1" applyBorder="1" applyAlignment="1" applyProtection="1">
      <alignment vertical="center" wrapText="1"/>
      <protection hidden="1"/>
    </xf>
    <xf numFmtId="164" fontId="132" fillId="32" borderId="0" xfId="0" applyNumberFormat="1" applyFont="1" applyFill="1" applyAlignment="1" applyProtection="1">
      <alignment vertical="center" wrapText="1"/>
      <protection hidden="1"/>
    </xf>
    <xf numFmtId="0" fontId="131" fillId="0" borderId="0" xfId="0" applyFont="1" applyFill="1" applyBorder="1" applyAlignment="1" applyProtection="1">
      <alignment/>
      <protection hidden="1"/>
    </xf>
    <xf numFmtId="0" fontId="133" fillId="0" borderId="0" xfId="0" applyFont="1" applyFill="1" applyBorder="1" applyAlignment="1" applyProtection="1">
      <alignment/>
      <protection hidden="1"/>
    </xf>
    <xf numFmtId="164" fontId="133" fillId="0" borderId="0" xfId="0" applyNumberFormat="1" applyFont="1" applyFill="1" applyBorder="1" applyAlignment="1" applyProtection="1">
      <alignment/>
      <protection hidden="1"/>
    </xf>
    <xf numFmtId="0" fontId="134" fillId="0" borderId="0" xfId="0" applyFont="1" applyFill="1" applyBorder="1" applyAlignment="1" applyProtection="1">
      <alignment vertical="center"/>
      <protection hidden="1"/>
    </xf>
    <xf numFmtId="0" fontId="135" fillId="0" borderId="0" xfId="0" applyFont="1" applyFill="1" applyBorder="1" applyAlignment="1" applyProtection="1">
      <alignment horizontal="center" vertical="center"/>
      <protection hidden="1"/>
    </xf>
    <xf numFmtId="0" fontId="134" fillId="0" borderId="0" xfId="0" applyFont="1" applyFill="1" applyBorder="1" applyAlignment="1" applyProtection="1">
      <alignment/>
      <protection hidden="1"/>
    </xf>
    <xf numFmtId="164" fontId="1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Fill="1" applyBorder="1" applyAlignment="1" applyProtection="1">
      <alignment horizontal="center" vertical="center"/>
      <protection hidden="1"/>
    </xf>
    <xf numFmtId="0" fontId="137" fillId="0" borderId="0" xfId="0" applyFont="1" applyFill="1" applyBorder="1" applyAlignment="1" applyProtection="1">
      <alignment vertical="center"/>
      <protection hidden="1"/>
    </xf>
    <xf numFmtId="164" fontId="137" fillId="0" borderId="0" xfId="0" applyNumberFormat="1" applyFont="1" applyFill="1" applyBorder="1" applyAlignment="1" applyProtection="1">
      <alignment vertical="center"/>
      <protection hidden="1"/>
    </xf>
    <xf numFmtId="0" fontId="138" fillId="58" borderId="28" xfId="0" applyFont="1" applyFill="1" applyBorder="1" applyAlignment="1" applyProtection="1">
      <alignment horizontal="center" wrapText="1"/>
      <protection hidden="1"/>
    </xf>
    <xf numFmtId="164" fontId="139" fillId="59" borderId="12" xfId="43" applyNumberFormat="1" applyFont="1" applyFill="1" applyBorder="1" applyAlignment="1" applyProtection="1">
      <alignment vertical="center"/>
      <protection hidden="1"/>
    </xf>
    <xf numFmtId="0" fontId="52" fillId="60" borderId="58" xfId="0" applyFont="1" applyFill="1" applyBorder="1" applyAlignment="1">
      <alignment/>
    </xf>
    <xf numFmtId="0" fontId="52" fillId="60" borderId="56" xfId="0" applyFont="1" applyFill="1" applyBorder="1" applyAlignment="1">
      <alignment horizontal="right"/>
    </xf>
    <xf numFmtId="164" fontId="52" fillId="60" borderId="56" xfId="0" applyNumberFormat="1" applyFont="1" applyFill="1" applyBorder="1" applyAlignment="1">
      <alignment/>
    </xf>
    <xf numFmtId="0" fontId="52" fillId="60" borderId="56" xfId="0" applyFont="1" applyFill="1" applyBorder="1" applyAlignment="1">
      <alignment/>
    </xf>
    <xf numFmtId="0" fontId="52" fillId="60" borderId="31" xfId="0" applyFont="1" applyFill="1" applyBorder="1" applyAlignment="1">
      <alignment vertical="center"/>
    </xf>
    <xf numFmtId="164" fontId="140" fillId="53" borderId="14" xfId="0" applyNumberFormat="1" applyFont="1" applyFill="1" applyBorder="1" applyAlignment="1" applyProtection="1">
      <alignment vertical="center" wrapText="1"/>
      <protection hidden="1"/>
    </xf>
    <xf numFmtId="0" fontId="141" fillId="60" borderId="58" xfId="0" applyFont="1" applyFill="1" applyBorder="1" applyAlignment="1" applyProtection="1">
      <alignment horizontal="left" vertical="center"/>
      <protection hidden="1"/>
    </xf>
    <xf numFmtId="164" fontId="141" fillId="60" borderId="56" xfId="0" applyNumberFormat="1" applyFont="1" applyFill="1" applyBorder="1" applyAlignment="1" applyProtection="1">
      <alignment horizontal="center" vertical="center"/>
      <protection hidden="1"/>
    </xf>
    <xf numFmtId="0" fontId="141" fillId="60" borderId="31" xfId="0" applyFont="1" applyFill="1" applyBorder="1" applyAlignment="1" applyProtection="1">
      <alignment horizontal="left" vertical="center"/>
      <protection hidden="1"/>
    </xf>
    <xf numFmtId="0" fontId="8" fillId="61" borderId="61" xfId="0" applyFont="1" applyFill="1" applyBorder="1" applyAlignment="1" applyProtection="1">
      <alignment vertical="center"/>
      <protection hidden="1"/>
    </xf>
    <xf numFmtId="0" fontId="9" fillId="61" borderId="61" xfId="0" applyFont="1" applyFill="1" applyBorder="1" applyAlignment="1" applyProtection="1">
      <alignment horizontal="center"/>
      <protection hidden="1"/>
    </xf>
    <xf numFmtId="164" fontId="12" fillId="61" borderId="61" xfId="0" applyNumberFormat="1" applyFont="1" applyFill="1" applyBorder="1" applyAlignment="1" applyProtection="1">
      <alignment horizontal="center" vertical="center"/>
      <protection hidden="1"/>
    </xf>
    <xf numFmtId="164" fontId="9" fillId="61" borderId="61" xfId="0" applyNumberFormat="1" applyFont="1" applyFill="1" applyBorder="1" applyAlignment="1" applyProtection="1">
      <alignment/>
      <protection hidden="1"/>
    </xf>
    <xf numFmtId="164" fontId="142" fillId="62" borderId="62" xfId="0" applyNumberFormat="1" applyFont="1" applyFill="1" applyBorder="1" applyAlignment="1" applyProtection="1">
      <alignment horizontal="center" vertical="center" wrapText="1" shrinkToFit="1"/>
      <protection hidden="1"/>
    </xf>
    <xf numFmtId="164" fontId="39" fillId="63" borderId="23" xfId="43" applyNumberFormat="1" applyFont="1" applyFill="1" applyBorder="1" applyAlignment="1" applyProtection="1">
      <alignment horizontal="right" vertical="center" shrinkToFit="1"/>
      <protection hidden="1"/>
    </xf>
    <xf numFmtId="0" fontId="34" fillId="32" borderId="63" xfId="0" applyFont="1" applyFill="1" applyBorder="1" applyAlignment="1" applyProtection="1">
      <alignment/>
      <protection hidden="1"/>
    </xf>
    <xf numFmtId="0" fontId="0" fillId="0" borderId="63" xfId="0" applyFont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164" fontId="0" fillId="0" borderId="63" xfId="0" applyNumberFormat="1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2" fontId="0" fillId="0" borderId="6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2" fontId="9" fillId="0" borderId="64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29" fillId="0" borderId="0" xfId="0" applyFont="1" applyBorder="1" applyAlignment="1" applyProtection="1">
      <alignment vertical="top"/>
      <protection hidden="1"/>
    </xf>
    <xf numFmtId="0" fontId="137" fillId="0" borderId="0" xfId="0" applyFont="1" applyFill="1" applyBorder="1" applyAlignment="1" applyProtection="1">
      <alignment horizontal="center" vertical="center"/>
      <protection hidden="1"/>
    </xf>
    <xf numFmtId="164" fontId="137" fillId="39" borderId="0" xfId="0" applyNumberFormat="1" applyFont="1" applyFill="1" applyBorder="1" applyAlignment="1" applyProtection="1">
      <alignment horizontal="center" vertical="center"/>
      <protection hidden="1"/>
    </xf>
    <xf numFmtId="164" fontId="137" fillId="64" borderId="0" xfId="0" applyNumberFormat="1" applyFont="1" applyFill="1" applyBorder="1" applyAlignment="1" applyProtection="1">
      <alignment horizontal="center" vertical="center"/>
      <protection hidden="1"/>
    </xf>
    <xf numFmtId="0" fontId="137" fillId="65" borderId="0" xfId="0" applyFont="1" applyFill="1" applyBorder="1" applyAlignment="1" applyProtection="1">
      <alignment horizontal="center" vertical="center"/>
      <protection hidden="1"/>
    </xf>
    <xf numFmtId="164" fontId="143" fillId="0" borderId="0" xfId="0" applyNumberFormat="1" applyFont="1" applyFill="1" applyBorder="1" applyAlignment="1" applyProtection="1">
      <alignment vertical="center"/>
      <protection hidden="1"/>
    </xf>
    <xf numFmtId="0" fontId="144" fillId="0" borderId="0" xfId="0" applyFont="1" applyBorder="1" applyAlignment="1" applyProtection="1">
      <alignment horizontal="right" vertical="center"/>
      <protection hidden="1"/>
    </xf>
    <xf numFmtId="2" fontId="137" fillId="0" borderId="0" xfId="0" applyNumberFormat="1" applyFont="1" applyFill="1" applyBorder="1" applyAlignment="1" applyProtection="1">
      <alignment vertical="center"/>
      <protection hidden="1"/>
    </xf>
    <xf numFmtId="2" fontId="130" fillId="0" borderId="0" xfId="0" applyNumberFormat="1" applyFont="1" applyBorder="1" applyAlignment="1" applyProtection="1">
      <alignment vertical="center"/>
      <protection hidden="1"/>
    </xf>
    <xf numFmtId="166" fontId="137" fillId="0" borderId="0" xfId="0" applyNumberFormat="1" applyFont="1" applyFill="1" applyBorder="1" applyAlignment="1" applyProtection="1">
      <alignment vertical="center"/>
      <protection hidden="1"/>
    </xf>
    <xf numFmtId="166" fontId="137" fillId="39" borderId="0" xfId="0" applyNumberFormat="1" applyFont="1" applyFill="1" applyBorder="1" applyAlignment="1" applyProtection="1">
      <alignment vertical="center"/>
      <protection hidden="1"/>
    </xf>
    <xf numFmtId="166" fontId="137" fillId="64" borderId="0" xfId="0" applyNumberFormat="1" applyFont="1" applyFill="1" applyBorder="1" applyAlignment="1" applyProtection="1">
      <alignment vertical="center"/>
      <protection hidden="1"/>
    </xf>
    <xf numFmtId="166" fontId="137" fillId="65" borderId="0" xfId="0" applyNumberFormat="1" applyFont="1" applyFill="1" applyBorder="1" applyAlignment="1" applyProtection="1">
      <alignment vertical="center"/>
      <protection hidden="1"/>
    </xf>
    <xf numFmtId="0" fontId="56" fillId="0" borderId="14" xfId="0" applyFont="1" applyBorder="1" applyAlignment="1">
      <alignment horizontal="right" vertical="center"/>
    </xf>
    <xf numFmtId="0" fontId="145" fillId="0" borderId="0" xfId="0" applyFont="1" applyBorder="1" applyAlignment="1" applyProtection="1">
      <alignment vertical="center"/>
      <protection hidden="1"/>
    </xf>
    <xf numFmtId="164" fontId="9" fillId="32" borderId="10" xfId="0" applyNumberFormat="1" applyFont="1" applyFill="1" applyBorder="1" applyAlignment="1" applyProtection="1">
      <alignment horizontal="right" vertical="center" wrapText="1"/>
      <protection hidden="1"/>
    </xf>
    <xf numFmtId="164" fontId="146" fillId="66" borderId="39" xfId="0" applyNumberFormat="1" applyFont="1" applyFill="1" applyBorder="1" applyAlignment="1" applyProtection="1">
      <alignment horizontal="center" vertical="center" wrapText="1"/>
      <protection hidden="1"/>
    </xf>
    <xf numFmtId="164" fontId="147" fillId="67" borderId="65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Fill="1" applyBorder="1" applyAlignment="1" applyProtection="1">
      <alignment vertical="center" wrapText="1"/>
      <protection hidden="1"/>
    </xf>
    <xf numFmtId="164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48" fillId="0" borderId="0" xfId="0" applyNumberFormat="1" applyFont="1" applyBorder="1" applyAlignment="1" applyProtection="1">
      <alignment vertical="center"/>
      <protection hidden="1"/>
    </xf>
    <xf numFmtId="0" fontId="14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164" fontId="7" fillId="32" borderId="13" xfId="0" applyNumberFormat="1" applyFont="1" applyFill="1" applyBorder="1" applyAlignment="1" applyProtection="1">
      <alignment horizontal="right" vertical="center"/>
      <protection hidden="1"/>
    </xf>
    <xf numFmtId="164" fontId="7" fillId="32" borderId="14" xfId="0" applyNumberFormat="1" applyFont="1" applyFill="1" applyBorder="1" applyAlignment="1" applyProtection="1">
      <alignment horizontal="right" vertical="center"/>
      <protection hidden="1"/>
    </xf>
    <xf numFmtId="0" fontId="13" fillId="33" borderId="28" xfId="0" applyFont="1" applyFill="1" applyBorder="1" applyAlignment="1" applyProtection="1">
      <alignment horizontal="center" vertical="center"/>
      <protection hidden="1"/>
    </xf>
    <xf numFmtId="0" fontId="13" fillId="33" borderId="11" xfId="0" applyFont="1" applyFill="1" applyBorder="1" applyAlignment="1" applyProtection="1">
      <alignment horizontal="center" vertical="center"/>
      <protection hidden="1"/>
    </xf>
    <xf numFmtId="0" fontId="6" fillId="68" borderId="70" xfId="0" applyFont="1" applyFill="1" applyBorder="1" applyAlignment="1" applyProtection="1">
      <alignment horizontal="left" vertical="center"/>
      <protection hidden="1"/>
    </xf>
    <xf numFmtId="0" fontId="6" fillId="69" borderId="71" xfId="0" applyFont="1" applyFill="1" applyBorder="1" applyAlignment="1" applyProtection="1">
      <alignment horizontal="left" vertical="center"/>
      <protection hidden="1"/>
    </xf>
    <xf numFmtId="0" fontId="6" fillId="70" borderId="72" xfId="0" applyFont="1" applyFill="1" applyBorder="1" applyAlignment="1" applyProtection="1">
      <alignment horizontal="left" vertical="center"/>
      <protection hidden="1"/>
    </xf>
    <xf numFmtId="0" fontId="17" fillId="35" borderId="37" xfId="0" applyFont="1" applyFill="1" applyBorder="1" applyAlignment="1" applyProtection="1">
      <alignment horizontal="center" vertical="center"/>
      <protection hidden="1"/>
    </xf>
    <xf numFmtId="49" fontId="6" fillId="0" borderId="23" xfId="0" applyNumberFormat="1" applyFont="1" applyFill="1" applyBorder="1" applyAlignment="1" applyProtection="1">
      <alignment horizontal="right" vertical="center"/>
      <protection hidden="1"/>
    </xf>
    <xf numFmtId="0" fontId="9" fillId="32" borderId="0" xfId="0" applyFont="1" applyFill="1" applyBorder="1" applyAlignment="1" applyProtection="1">
      <alignment horizontal="left" wrapText="1" shrinkToFit="1"/>
      <protection hidden="1"/>
    </xf>
    <xf numFmtId="0" fontId="6" fillId="71" borderId="21" xfId="0" applyFont="1" applyFill="1" applyBorder="1" applyAlignment="1" applyProtection="1">
      <alignment horizontal="left" vertical="center"/>
      <protection hidden="1"/>
    </xf>
    <xf numFmtId="0" fontId="6" fillId="72" borderId="24" xfId="0" applyFont="1" applyFill="1" applyBorder="1" applyAlignment="1" applyProtection="1">
      <alignment horizontal="left" vertical="center"/>
      <protection hidden="1"/>
    </xf>
    <xf numFmtId="0" fontId="6" fillId="73" borderId="22" xfId="0" applyFont="1" applyFill="1" applyBorder="1" applyAlignment="1" applyProtection="1">
      <alignment horizontal="left" vertical="center"/>
      <protection hidden="1"/>
    </xf>
    <xf numFmtId="0" fontId="14" fillId="0" borderId="33" xfId="0" applyFont="1" applyFill="1" applyBorder="1" applyAlignment="1" applyProtection="1">
      <alignment horizontal="center"/>
      <protection hidden="1"/>
    </xf>
    <xf numFmtId="0" fontId="14" fillId="0" borderId="73" xfId="0" applyFont="1" applyFill="1" applyBorder="1" applyAlignment="1" applyProtection="1">
      <alignment horizontal="center"/>
      <protection hidden="1"/>
    </xf>
    <xf numFmtId="0" fontId="6" fillId="32" borderId="21" xfId="56" applyFont="1" applyFill="1" applyBorder="1" applyAlignment="1" applyProtection="1">
      <alignment horizontal="left" vertical="center" wrapText="1"/>
      <protection hidden="1"/>
    </xf>
    <xf numFmtId="0" fontId="6" fillId="32" borderId="24" xfId="56" applyFont="1" applyFill="1" applyBorder="1" applyAlignment="1" applyProtection="1">
      <alignment horizontal="left" vertical="center" wrapText="1"/>
      <protection hidden="1"/>
    </xf>
    <xf numFmtId="0" fontId="6" fillId="32" borderId="22" xfId="56" applyFont="1" applyFill="1" applyBorder="1" applyAlignment="1" applyProtection="1">
      <alignment horizontal="left" vertical="center" wrapText="1"/>
      <protection hidden="1"/>
    </xf>
    <xf numFmtId="164" fontId="9" fillId="32" borderId="47" xfId="0" applyNumberFormat="1" applyFont="1" applyFill="1" applyBorder="1" applyAlignment="1" applyProtection="1">
      <alignment horizontal="right" vertical="center" shrinkToFit="1"/>
      <protection hidden="1"/>
    </xf>
    <xf numFmtId="164" fontId="9" fillId="32" borderId="20" xfId="0" applyNumberFormat="1" applyFont="1" applyFill="1" applyBorder="1" applyAlignment="1" applyProtection="1">
      <alignment horizontal="right" vertical="center" shrinkToFit="1"/>
      <protection hidden="1"/>
    </xf>
    <xf numFmtId="164" fontId="28" fillId="21" borderId="21" xfId="0" applyNumberFormat="1" applyFont="1" applyFill="1" applyBorder="1" applyAlignment="1" applyProtection="1">
      <alignment horizontal="right" vertical="center"/>
      <protection hidden="1"/>
    </xf>
    <xf numFmtId="0" fontId="14" fillId="0" borderId="70" xfId="0" applyFont="1" applyFill="1" applyBorder="1" applyAlignment="1" applyProtection="1">
      <alignment horizontal="center"/>
      <protection hidden="1"/>
    </xf>
    <xf numFmtId="0" fontId="14" fillId="0" borderId="74" xfId="0" applyFont="1" applyFill="1" applyBorder="1" applyAlignment="1" applyProtection="1">
      <alignment horizont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73" xfId="0" applyFont="1" applyFill="1" applyBorder="1" applyAlignment="1" applyProtection="1">
      <alignment horizontal="center" vertical="center"/>
      <protection hidden="1"/>
    </xf>
    <xf numFmtId="0" fontId="11" fillId="32" borderId="21" xfId="0" applyFont="1" applyFill="1" applyBorder="1" applyAlignment="1" applyProtection="1">
      <alignment horizontal="center" vertical="center"/>
      <protection hidden="1"/>
    </xf>
    <xf numFmtId="0" fontId="59" fillId="0" borderId="57" xfId="0" applyFont="1" applyBorder="1" applyAlignment="1" applyProtection="1">
      <alignment horizontal="center" vertical="top"/>
      <protection hidden="1"/>
    </xf>
    <xf numFmtId="0" fontId="60" fillId="0" borderId="55" xfId="0" applyFont="1" applyBorder="1" applyAlignment="1">
      <alignment horizontal="center" vertical="top"/>
    </xf>
    <xf numFmtId="0" fontId="60" fillId="0" borderId="75" xfId="0" applyFont="1" applyBorder="1" applyAlignment="1">
      <alignment horizontal="center" vertical="top"/>
    </xf>
    <xf numFmtId="0" fontId="7" fillId="0" borderId="29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32" borderId="13" xfId="0" applyFont="1" applyFill="1" applyBorder="1" applyAlignment="1" applyProtection="1">
      <alignment horizontal="center" vertical="center"/>
      <protection hidden="1"/>
    </xf>
    <xf numFmtId="0" fontId="8" fillId="32" borderId="1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7" fillId="74" borderId="23" xfId="0" applyNumberFormat="1" applyFont="1" applyFill="1" applyBorder="1" applyAlignment="1" applyProtection="1">
      <alignment horizontal="right" vertical="center"/>
      <protection hidden="1" locked="0"/>
    </xf>
    <xf numFmtId="2" fontId="12" fillId="0" borderId="76" xfId="0" applyNumberFormat="1" applyFont="1" applyBorder="1" applyAlignment="1" applyProtection="1">
      <alignment horizontal="left" vertical="center" wrapText="1"/>
      <protection hidden="1"/>
    </xf>
    <xf numFmtId="2" fontId="9" fillId="0" borderId="76" xfId="0" applyNumberFormat="1" applyFont="1" applyBorder="1" applyAlignment="1" applyProtection="1">
      <alignment horizontal="left" vertical="center" wrapText="1"/>
      <protection hidden="1"/>
    </xf>
    <xf numFmtId="0" fontId="6" fillId="0" borderId="29" xfId="0" applyFont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164" fontId="9" fillId="32" borderId="13" xfId="0" applyNumberFormat="1" applyFont="1" applyFill="1" applyBorder="1" applyAlignment="1" applyProtection="1">
      <alignment horizontal="right" vertical="center" wrapText="1"/>
      <protection hidden="1"/>
    </xf>
    <xf numFmtId="164" fontId="9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128" fillId="61" borderId="77" xfId="0" applyNumberFormat="1" applyFont="1" applyFill="1" applyBorder="1" applyAlignment="1" applyProtection="1">
      <alignment horizontal="center" vertical="center" wrapText="1" shrinkToFit="1"/>
      <protection hidden="1"/>
    </xf>
    <xf numFmtId="164" fontId="128" fillId="61" borderId="78" xfId="0" applyNumberFormat="1" applyFont="1" applyFill="1" applyBorder="1" applyAlignment="1" applyProtection="1">
      <alignment horizontal="center" vertical="center" wrapText="1" shrinkToFit="1"/>
      <protection hidden="1"/>
    </xf>
    <xf numFmtId="0" fontId="18" fillId="32" borderId="23" xfId="0" applyFont="1" applyFill="1" applyBorder="1" applyAlignment="1" applyProtection="1">
      <alignment horizontal="center" vertical="center"/>
      <protection hidden="1"/>
    </xf>
    <xf numFmtId="0" fontId="8" fillId="75" borderId="50" xfId="0" applyFont="1" applyFill="1" applyBorder="1" applyAlignment="1" applyProtection="1">
      <alignment horizontal="left" vertical="center"/>
      <protection hidden="1" locked="0"/>
    </xf>
    <xf numFmtId="0" fontId="8" fillId="76" borderId="19" xfId="0" applyFont="1" applyFill="1" applyBorder="1" applyAlignment="1" applyProtection="1">
      <alignment horizontal="left" vertical="center"/>
      <protection hidden="1" locked="0"/>
    </xf>
    <xf numFmtId="0" fontId="6" fillId="77" borderId="21" xfId="0" applyFont="1" applyFill="1" applyBorder="1" applyAlignment="1" applyProtection="1">
      <alignment horizontal="left" vertical="center"/>
      <protection hidden="1"/>
    </xf>
    <xf numFmtId="0" fontId="6" fillId="77" borderId="24" xfId="0" applyFont="1" applyFill="1" applyBorder="1" applyAlignment="1" applyProtection="1">
      <alignment horizontal="left" vertical="center"/>
      <protection hidden="1"/>
    </xf>
    <xf numFmtId="0" fontId="6" fillId="77" borderId="22" xfId="0" applyFont="1" applyFill="1" applyBorder="1" applyAlignment="1" applyProtection="1">
      <alignment horizontal="left" vertical="center"/>
      <protection hidden="1"/>
    </xf>
    <xf numFmtId="0" fontId="6" fillId="77" borderId="70" xfId="0" applyFont="1" applyFill="1" applyBorder="1" applyAlignment="1" applyProtection="1">
      <alignment horizontal="left" vertical="center"/>
      <protection hidden="1"/>
    </xf>
    <xf numFmtId="0" fontId="6" fillId="77" borderId="71" xfId="0" applyFont="1" applyFill="1" applyBorder="1" applyAlignment="1" applyProtection="1">
      <alignment horizontal="left" vertical="center"/>
      <protection hidden="1"/>
    </xf>
    <xf numFmtId="0" fontId="6" fillId="77" borderId="72" xfId="0" applyFont="1" applyFill="1" applyBorder="1" applyAlignment="1" applyProtection="1">
      <alignment horizontal="left" vertical="center"/>
      <protection hidden="1"/>
    </xf>
    <xf numFmtId="0" fontId="8" fillId="32" borderId="21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8" fillId="32" borderId="35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/>
      <protection hidden="1"/>
    </xf>
    <xf numFmtId="0" fontId="14" fillId="0" borderId="79" xfId="0" applyFont="1" applyFill="1" applyBorder="1" applyAlignment="1" applyProtection="1">
      <alignment horizontal="center"/>
      <protection hidden="1"/>
    </xf>
    <xf numFmtId="0" fontId="39" fillId="78" borderId="50" xfId="43" applyFont="1" applyFill="1" applyBorder="1" applyAlignment="1" applyProtection="1">
      <alignment vertical="center"/>
      <protection locked="0"/>
    </xf>
    <xf numFmtId="0" fontId="39" fillId="79" borderId="19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79" xfId="0" applyFont="1" applyFill="1" applyBorder="1" applyAlignment="1" applyProtection="1">
      <alignment horizontal="center" vertical="center"/>
      <protection hidden="1"/>
    </xf>
    <xf numFmtId="0" fontId="6" fillId="32" borderId="33" xfId="0" applyNumberFormat="1" applyFont="1" applyFill="1" applyBorder="1" applyAlignment="1" applyProtection="1">
      <alignment horizontal="left" vertical="center"/>
      <protection hidden="1"/>
    </xf>
    <xf numFmtId="0" fontId="6" fillId="32" borderId="24" xfId="0" applyNumberFormat="1" applyFont="1" applyFill="1" applyBorder="1" applyAlignment="1" applyProtection="1">
      <alignment horizontal="left" vertical="center"/>
      <protection hidden="1"/>
    </xf>
    <xf numFmtId="0" fontId="6" fillId="32" borderId="22" xfId="0" applyNumberFormat="1" applyFont="1" applyFill="1" applyBorder="1" applyAlignment="1" applyProtection="1">
      <alignment horizontal="left" vertical="center"/>
      <protection hidden="1"/>
    </xf>
    <xf numFmtId="2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150" fillId="0" borderId="29" xfId="0" applyFont="1" applyFill="1" applyBorder="1" applyAlignment="1" applyProtection="1">
      <alignment horizontal="left" vertical="center" indent="2"/>
      <protection hidden="1"/>
    </xf>
    <xf numFmtId="0" fontId="150" fillId="0" borderId="16" xfId="0" applyFont="1" applyFill="1" applyBorder="1" applyAlignment="1" applyProtection="1">
      <alignment horizontal="left" vertical="center" indent="2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79" xfId="0" applyFont="1" applyFill="1" applyBorder="1" applyAlignment="1" applyProtection="1">
      <alignment horizontal="center" vertical="center"/>
      <protection hidden="1"/>
    </xf>
    <xf numFmtId="0" fontId="7" fillId="80" borderId="80" xfId="0" applyFont="1" applyFill="1" applyBorder="1" applyAlignment="1" applyProtection="1">
      <alignment horizontal="left" vertical="center"/>
      <protection hidden="1"/>
    </xf>
    <xf numFmtId="0" fontId="7" fillId="80" borderId="11" xfId="0" applyFont="1" applyFill="1" applyBorder="1" applyAlignment="1" applyProtection="1">
      <alignment horizontal="left" vertical="center"/>
      <protection hidden="1"/>
    </xf>
    <xf numFmtId="0" fontId="6" fillId="48" borderId="29" xfId="0" applyFont="1" applyFill="1" applyBorder="1" applyAlignment="1" applyProtection="1">
      <alignment horizontal="left" vertical="top"/>
      <protection hidden="1"/>
    </xf>
    <xf numFmtId="0" fontId="6" fillId="48" borderId="16" xfId="0" applyFont="1" applyFill="1" applyBorder="1" applyAlignment="1" applyProtection="1">
      <alignment horizontal="left" vertical="top"/>
      <protection hidden="1"/>
    </xf>
    <xf numFmtId="0" fontId="0" fillId="48" borderId="16" xfId="0" applyFill="1" applyBorder="1" applyAlignment="1">
      <alignment/>
    </xf>
    <xf numFmtId="0" fontId="0" fillId="48" borderId="15" xfId="0" applyFill="1" applyBorder="1" applyAlignment="1">
      <alignment/>
    </xf>
    <xf numFmtId="0" fontId="59" fillId="48" borderId="57" xfId="0" applyFont="1" applyFill="1" applyBorder="1" applyAlignment="1" applyProtection="1">
      <alignment horizontal="center" vertical="center"/>
      <protection hidden="1"/>
    </xf>
    <xf numFmtId="0" fontId="59" fillId="48" borderId="55" xfId="0" applyFont="1" applyFill="1" applyBorder="1" applyAlignment="1" applyProtection="1">
      <alignment horizontal="center" vertical="center"/>
      <protection hidden="1"/>
    </xf>
    <xf numFmtId="0" fontId="60" fillId="48" borderId="55" xfId="0" applyFont="1" applyFill="1" applyBorder="1" applyAlignment="1">
      <alignment horizontal="center" vertical="center"/>
    </xf>
    <xf numFmtId="0" fontId="60" fillId="48" borderId="75" xfId="0" applyFont="1" applyFill="1" applyBorder="1" applyAlignment="1">
      <alignment horizontal="center" vertical="center"/>
    </xf>
    <xf numFmtId="0" fontId="13" fillId="35" borderId="80" xfId="0" applyFont="1" applyFill="1" applyBorder="1" applyAlignment="1" applyProtection="1">
      <alignment horizontal="center" vertical="center"/>
      <protection hidden="1"/>
    </xf>
    <xf numFmtId="0" fontId="13" fillId="35" borderId="11" xfId="0" applyFont="1" applyFill="1" applyBorder="1" applyAlignment="1" applyProtection="1">
      <alignment horizontal="center" vertical="center"/>
      <protection hidden="1"/>
    </xf>
    <xf numFmtId="164" fontId="151" fillId="81" borderId="81" xfId="0" applyNumberFormat="1" applyFont="1" applyFill="1" applyBorder="1" applyAlignment="1" applyProtection="1">
      <alignment horizontal="center" vertical="center" wrapText="1" shrinkToFit="1"/>
      <protection hidden="1"/>
    </xf>
    <xf numFmtId="164" fontId="151" fillId="82" borderId="78" xfId="0" applyNumberFormat="1" applyFont="1" applyFill="1" applyBorder="1" applyAlignment="1" applyProtection="1">
      <alignment horizontal="center" vertical="center" wrapText="1" shrinkToFit="1"/>
      <protection hidden="1"/>
    </xf>
    <xf numFmtId="0" fontId="39" fillId="83" borderId="50" xfId="43" applyFont="1" applyFill="1" applyBorder="1" applyAlignment="1" applyProtection="1">
      <alignment vertical="center"/>
      <protection hidden="1" locked="0"/>
    </xf>
    <xf numFmtId="0" fontId="39" fillId="84" borderId="19" xfId="43" applyFont="1" applyFill="1" applyBorder="1" applyAlignment="1" applyProtection="1">
      <alignment vertical="center"/>
      <protection hidden="1" locked="0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134" fillId="85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34" fillId="86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2" fillId="32" borderId="26" xfId="0" applyFont="1" applyFill="1" applyBorder="1" applyAlignment="1" applyProtection="1">
      <alignment horizontal="left" vertical="center"/>
      <protection hidden="1"/>
    </xf>
    <xf numFmtId="0" fontId="152" fillId="32" borderId="63" xfId="0" applyFont="1" applyFill="1" applyBorder="1" applyAlignment="1" applyProtection="1">
      <alignment horizontal="left" vertical="center"/>
      <protection hidden="1"/>
    </xf>
    <xf numFmtId="0" fontId="152" fillId="32" borderId="25" xfId="0" applyFont="1" applyFill="1" applyBorder="1" applyAlignment="1" applyProtection="1">
      <alignment horizontal="left" vertical="center"/>
      <protection hidden="1"/>
    </xf>
    <xf numFmtId="0" fontId="7" fillId="0" borderId="58" xfId="0" applyFont="1" applyBorder="1" applyAlignment="1" applyProtection="1">
      <alignment horizontal="left" vertical="center" wrapText="1"/>
      <protection hidden="1"/>
    </xf>
    <xf numFmtId="0" fontId="7" fillId="0" borderId="56" xfId="0" applyFont="1" applyBorder="1" applyAlignment="1" applyProtection="1">
      <alignment horizontal="left" vertical="center" wrapText="1"/>
      <protection hidden="1"/>
    </xf>
    <xf numFmtId="0" fontId="7" fillId="34" borderId="28" xfId="0" applyFont="1" applyFill="1" applyBorder="1" applyAlignment="1" applyProtection="1">
      <alignment horizontal="left" vertical="center"/>
      <protection hidden="1"/>
    </xf>
    <xf numFmtId="0" fontId="12" fillId="0" borderId="57" xfId="0" applyFont="1" applyBorder="1" applyAlignment="1" applyProtection="1">
      <alignment horizontal="left" vertical="center" indent="8"/>
      <protection hidden="1"/>
    </xf>
    <xf numFmtId="0" fontId="12" fillId="0" borderId="55" xfId="0" applyFont="1" applyBorder="1" applyAlignment="1" applyProtection="1">
      <alignment horizontal="left" vertical="center" indent="8"/>
      <protection hidden="1"/>
    </xf>
    <xf numFmtId="0" fontId="12" fillId="0" borderId="75" xfId="0" applyFont="1" applyBorder="1" applyAlignment="1" applyProtection="1">
      <alignment horizontal="left" vertical="center" indent="8"/>
      <protection hidden="1"/>
    </xf>
    <xf numFmtId="0" fontId="153" fillId="0" borderId="0" xfId="0" applyNumberFormat="1" applyFont="1" applyFill="1" applyBorder="1" applyAlignment="1" applyProtection="1">
      <alignment horizontal="left" vertical="center" indent="2"/>
      <protection hidden="1"/>
    </xf>
    <xf numFmtId="49" fontId="12" fillId="0" borderId="16" xfId="0" applyNumberFormat="1" applyFont="1" applyBorder="1" applyAlignment="1" applyProtection="1">
      <alignment horizontal="left" vertical="center"/>
      <protection hidden="1"/>
    </xf>
    <xf numFmtId="0" fontId="12" fillId="0" borderId="16" xfId="0" applyNumberFormat="1" applyFont="1" applyBorder="1" applyAlignment="1" applyProtection="1">
      <alignment horizontal="left" vertical="center"/>
      <protection hidden="1"/>
    </xf>
    <xf numFmtId="0" fontId="12" fillId="0" borderId="15" xfId="0" applyNumberFormat="1" applyFont="1" applyBorder="1" applyAlignment="1" applyProtection="1">
      <alignment horizontal="left" vertical="center"/>
      <protection hidden="1"/>
    </xf>
    <xf numFmtId="0" fontId="12" fillId="0" borderId="55" xfId="0" applyNumberFormat="1" applyFont="1" applyBorder="1" applyAlignment="1" applyProtection="1">
      <alignment horizontal="left" vertical="center"/>
      <protection hidden="1"/>
    </xf>
    <xf numFmtId="0" fontId="12" fillId="0" borderId="75" xfId="0" applyNumberFormat="1" applyFont="1" applyBorder="1" applyAlignment="1" applyProtection="1">
      <alignment horizontal="left" vertical="center"/>
      <protection hidden="1"/>
    </xf>
    <xf numFmtId="0" fontId="7" fillId="32" borderId="57" xfId="0" applyFont="1" applyFill="1" applyBorder="1" applyAlignment="1" applyProtection="1">
      <alignment horizontal="left" vertical="center" wrapText="1"/>
      <protection hidden="1"/>
    </xf>
    <xf numFmtId="0" fontId="7" fillId="32" borderId="55" xfId="0" applyFont="1" applyFill="1" applyBorder="1" applyAlignment="1" applyProtection="1">
      <alignment horizontal="left" vertical="center" wrapText="1"/>
      <protection hidden="1"/>
    </xf>
    <xf numFmtId="0" fontId="0" fillId="35" borderId="37" xfId="0" applyFont="1" applyFill="1" applyBorder="1" applyAlignment="1" applyProtection="1">
      <alignment horizontal="center" vertical="center"/>
      <protection hidden="1"/>
    </xf>
    <xf numFmtId="0" fontId="0" fillId="35" borderId="82" xfId="0" applyFont="1" applyFill="1" applyBorder="1" applyAlignment="1" applyProtection="1">
      <alignment horizontal="center" vertical="center"/>
      <protection hidden="1"/>
    </xf>
    <xf numFmtId="0" fontId="7" fillId="61" borderId="81" xfId="0" applyFont="1" applyFill="1" applyBorder="1" applyAlignment="1" applyProtection="1">
      <alignment horizontal="center" vertical="center" wrapText="1"/>
      <protection hidden="1"/>
    </xf>
    <xf numFmtId="0" fontId="7" fillId="61" borderId="83" xfId="0" applyFont="1" applyFill="1" applyBorder="1" applyAlignment="1" applyProtection="1">
      <alignment horizontal="center" vertical="center" wrapText="1"/>
      <protection hidden="1"/>
    </xf>
    <xf numFmtId="0" fontId="7" fillId="61" borderId="84" xfId="0" applyFont="1" applyFill="1" applyBorder="1" applyAlignment="1" applyProtection="1">
      <alignment horizontal="center" vertical="center" wrapText="1"/>
      <protection hidden="1"/>
    </xf>
    <xf numFmtId="164" fontId="28" fillId="21" borderId="23" xfId="0" applyNumberFormat="1" applyFont="1" applyFill="1" applyBorder="1" applyAlignment="1" applyProtection="1">
      <alignment horizontal="right" vertical="center"/>
      <protection hidden="1"/>
    </xf>
    <xf numFmtId="0" fontId="6" fillId="32" borderId="85" xfId="0" applyFont="1" applyFill="1" applyBorder="1" applyAlignment="1" applyProtection="1">
      <alignment horizontal="center" vertical="center"/>
      <protection hidden="1"/>
    </xf>
    <xf numFmtId="0" fontId="6" fillId="32" borderId="31" xfId="0" applyFont="1" applyFill="1" applyBorder="1" applyAlignment="1" applyProtection="1">
      <alignment horizontal="center" vertical="center"/>
      <protection hidden="1"/>
    </xf>
    <xf numFmtId="0" fontId="7" fillId="87" borderId="50" xfId="0" applyFont="1" applyFill="1" applyBorder="1" applyAlignment="1" applyProtection="1">
      <alignment vertical="center"/>
      <protection hidden="1" locked="0"/>
    </xf>
    <xf numFmtId="0" fontId="7" fillId="88" borderId="19" xfId="0" applyFont="1" applyFill="1" applyBorder="1" applyAlignment="1" applyProtection="1">
      <alignment vertical="center"/>
      <protection hidden="1" locked="0"/>
    </xf>
    <xf numFmtId="0" fontId="154" fillId="89" borderId="57" xfId="0" applyFont="1" applyFill="1" applyBorder="1" applyAlignment="1" applyProtection="1">
      <alignment horizontal="center" vertical="center" wrapText="1"/>
      <protection hidden="1"/>
    </xf>
    <xf numFmtId="0" fontId="154" fillId="90" borderId="55" xfId="0" applyFont="1" applyFill="1" applyBorder="1" applyAlignment="1" applyProtection="1">
      <alignment horizontal="center" vertical="center" wrapText="1"/>
      <protection hidden="1"/>
    </xf>
    <xf numFmtId="0" fontId="154" fillId="91" borderId="75" xfId="0" applyFont="1" applyFill="1" applyBorder="1" applyAlignment="1" applyProtection="1">
      <alignment horizontal="center" vertical="center" wrapText="1"/>
      <protection hidden="1"/>
    </xf>
    <xf numFmtId="164" fontId="12" fillId="61" borderId="62" xfId="0" applyNumberFormat="1" applyFont="1" applyFill="1" applyBorder="1" applyAlignment="1" applyProtection="1">
      <alignment horizontal="center" vertical="center" wrapText="1"/>
      <protection hidden="1"/>
    </xf>
    <xf numFmtId="164" fontId="38" fillId="61" borderId="78" xfId="0" applyNumberFormat="1" applyFont="1" applyFill="1" applyBorder="1" applyAlignment="1" applyProtection="1">
      <alignment horizontal="center" vertical="center" wrapText="1"/>
      <protection hidden="1"/>
    </xf>
    <xf numFmtId="164" fontId="9" fillId="32" borderId="0" xfId="0" applyNumberFormat="1" applyFont="1" applyFill="1" applyBorder="1" applyAlignment="1" applyProtection="1">
      <alignment horizontal="right" vertical="center"/>
      <protection hidden="1"/>
    </xf>
    <xf numFmtId="2" fontId="33" fillId="0" borderId="0" xfId="0" applyNumberFormat="1" applyFont="1" applyBorder="1" applyAlignment="1" applyProtection="1">
      <alignment horizontal="center" vertical="center" wrapText="1"/>
      <protection hidden="1"/>
    </xf>
    <xf numFmtId="0" fontId="155" fillId="92" borderId="86" xfId="0" applyFont="1" applyFill="1" applyBorder="1" applyAlignment="1" applyProtection="1">
      <alignment horizontal="center" vertical="center" wrapText="1"/>
      <protection hidden="1"/>
    </xf>
    <xf numFmtId="0" fontId="155" fillId="93" borderId="87" xfId="0" applyFont="1" applyFill="1" applyBorder="1" applyAlignment="1" applyProtection="1">
      <alignment horizontal="center" vertical="center" wrapText="1"/>
      <protection hidden="1"/>
    </xf>
    <xf numFmtId="0" fontId="155" fillId="94" borderId="88" xfId="0" applyFont="1" applyFill="1" applyBorder="1" applyAlignment="1" applyProtection="1">
      <alignment horizontal="center" vertical="center" wrapText="1"/>
      <protection hidden="1"/>
    </xf>
    <xf numFmtId="0" fontId="156" fillId="34" borderId="89" xfId="0" applyFont="1" applyFill="1" applyBorder="1" applyAlignment="1" applyProtection="1">
      <alignment horizontal="center" vertical="center"/>
      <protection hidden="1"/>
    </xf>
    <xf numFmtId="0" fontId="156" fillId="34" borderId="90" xfId="0" applyFont="1" applyFill="1" applyBorder="1" applyAlignment="1" applyProtection="1">
      <alignment horizontal="center" vertical="center"/>
      <protection hidden="1"/>
    </xf>
    <xf numFmtId="49" fontId="12" fillId="95" borderId="57" xfId="0" applyNumberFormat="1" applyFont="1" applyFill="1" applyBorder="1" applyAlignment="1" applyProtection="1">
      <alignment horizontal="center" vertical="center"/>
      <protection hidden="1" locked="0"/>
    </xf>
    <xf numFmtId="49" fontId="12" fillId="96" borderId="55" xfId="0" applyNumberFormat="1" applyFont="1" applyFill="1" applyBorder="1" applyAlignment="1" applyProtection="1">
      <alignment horizontal="center" vertical="center"/>
      <protection hidden="1" locked="0"/>
    </xf>
    <xf numFmtId="0" fontId="11" fillId="32" borderId="13" xfId="0" applyFont="1" applyFill="1" applyBorder="1" applyAlignment="1" applyProtection="1">
      <alignment horizontal="center" vertical="center"/>
      <protection hidden="1"/>
    </xf>
    <xf numFmtId="0" fontId="11" fillId="32" borderId="14" xfId="0" applyFont="1" applyFill="1" applyBorder="1" applyAlignment="1" applyProtection="1">
      <alignment horizontal="center" vertical="center"/>
      <protection hidden="1"/>
    </xf>
    <xf numFmtId="49" fontId="7" fillId="32" borderId="13" xfId="0" applyNumberFormat="1" applyFont="1" applyFill="1" applyBorder="1" applyAlignment="1" applyProtection="1">
      <alignment horizontal="right" vertical="center"/>
      <protection hidden="1"/>
    </xf>
    <xf numFmtId="49" fontId="7" fillId="32" borderId="14" xfId="0" applyNumberFormat="1" applyFont="1" applyFill="1" applyBorder="1" applyAlignment="1" applyProtection="1">
      <alignment horizontal="right" vertical="center"/>
      <protection hidden="1"/>
    </xf>
    <xf numFmtId="0" fontId="18" fillId="32" borderId="13" xfId="0" applyFont="1" applyFill="1" applyBorder="1" applyAlignment="1" applyProtection="1">
      <alignment horizontal="center" vertical="center"/>
      <protection hidden="1"/>
    </xf>
    <xf numFmtId="0" fontId="18" fillId="32" borderId="14" xfId="0" applyFont="1" applyFill="1" applyBorder="1" applyAlignment="1" applyProtection="1">
      <alignment horizontal="center" vertical="center"/>
      <protection hidden="1"/>
    </xf>
    <xf numFmtId="0" fontId="0" fillId="97" borderId="16" xfId="0" applyFont="1" applyFill="1" applyBorder="1" applyAlignment="1" applyProtection="1">
      <alignment horizontal="right" vertical="center" wrapText="1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left" vertical="center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6" fillId="0" borderId="57" xfId="0" applyFont="1" applyBorder="1" applyAlignment="1" applyProtection="1">
      <alignment horizontal="left" vertical="center" wrapText="1"/>
      <protection hidden="1"/>
    </xf>
    <xf numFmtId="0" fontId="6" fillId="0" borderId="55" xfId="0" applyFont="1" applyBorder="1" applyAlignment="1" applyProtection="1">
      <alignment horizontal="left" vertical="center" wrapText="1"/>
      <protection hidden="1"/>
    </xf>
    <xf numFmtId="0" fontId="12" fillId="0" borderId="57" xfId="0" applyNumberFormat="1" applyFont="1" applyFill="1" applyBorder="1" applyAlignment="1" applyProtection="1">
      <alignment horizontal="center" vertical="center"/>
      <protection hidden="1"/>
    </xf>
    <xf numFmtId="0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12" fillId="0" borderId="75" xfId="0" applyNumberFormat="1" applyFont="1" applyFill="1" applyBorder="1" applyAlignment="1" applyProtection="1">
      <alignment horizontal="center" vertical="center"/>
      <protection hidden="1"/>
    </xf>
    <xf numFmtId="14" fontId="12" fillId="0" borderId="56" xfId="0" applyNumberFormat="1" applyFont="1" applyBorder="1" applyAlignment="1" applyProtection="1">
      <alignment horizontal="left" vertical="center" wrapText="1"/>
      <protection hidden="1"/>
    </xf>
    <xf numFmtId="14" fontId="12" fillId="0" borderId="31" xfId="0" applyNumberFormat="1" applyFont="1" applyBorder="1" applyAlignment="1" applyProtection="1">
      <alignment horizontal="left" vertical="center" wrapText="1"/>
      <protection hidden="1"/>
    </xf>
    <xf numFmtId="49" fontId="12" fillId="98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12" fillId="99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12" fillId="100" borderId="55" xfId="0" applyNumberFormat="1" applyFont="1" applyFill="1" applyBorder="1" applyAlignment="1" applyProtection="1">
      <alignment horizontal="left" vertical="center" wrapText="1"/>
      <protection hidden="1" locked="0"/>
    </xf>
    <xf numFmtId="49" fontId="12" fillId="101" borderId="75" xfId="0" applyNumberFormat="1" applyFont="1" applyFill="1" applyBorder="1" applyAlignment="1" applyProtection="1">
      <alignment horizontal="left" vertical="center" wrapText="1"/>
      <protection hidden="1" locked="0"/>
    </xf>
    <xf numFmtId="1" fontId="12" fillId="102" borderId="57" xfId="0" applyNumberFormat="1" applyFont="1" applyFill="1" applyBorder="1" applyAlignment="1" applyProtection="1">
      <alignment horizontal="left" vertical="top" indent="9"/>
      <protection hidden="1" locked="0"/>
    </xf>
    <xf numFmtId="1" fontId="12" fillId="103" borderId="55" xfId="0" applyNumberFormat="1" applyFont="1" applyFill="1" applyBorder="1" applyAlignment="1" applyProtection="1">
      <alignment horizontal="left" vertical="top" indent="9"/>
      <protection hidden="1" locked="0"/>
    </xf>
    <xf numFmtId="0" fontId="6" fillId="48" borderId="29" xfId="0" applyFont="1" applyFill="1" applyBorder="1" applyAlignment="1" applyProtection="1">
      <alignment horizontal="left" vertical="top" wrapText="1"/>
      <protection hidden="1"/>
    </xf>
    <xf numFmtId="0" fontId="6" fillId="48" borderId="16" xfId="0" applyFont="1" applyFill="1" applyBorder="1" applyAlignment="1" applyProtection="1">
      <alignment horizontal="left" vertical="top" wrapText="1"/>
      <protection hidden="1"/>
    </xf>
    <xf numFmtId="14" fontId="12" fillId="104" borderId="56" xfId="0" applyNumberFormat="1" applyFont="1" applyFill="1" applyBorder="1" applyAlignment="1" applyProtection="1">
      <alignment horizontal="center" vertical="top" wrapText="1"/>
      <protection hidden="1" locked="0"/>
    </xf>
    <xf numFmtId="14" fontId="12" fillId="105" borderId="31" xfId="0" applyNumberFormat="1" applyFont="1" applyFill="1" applyBorder="1" applyAlignment="1" applyProtection="1">
      <alignment horizontal="center" vertical="top" wrapText="1"/>
      <protection hidden="1" locked="0"/>
    </xf>
    <xf numFmtId="0" fontId="12" fillId="106" borderId="56" xfId="0" applyNumberFormat="1" applyFont="1" applyFill="1" applyBorder="1" applyAlignment="1" applyProtection="1">
      <alignment horizontal="left" vertical="top"/>
      <protection hidden="1" locked="0"/>
    </xf>
    <xf numFmtId="0" fontId="6" fillId="48" borderId="58" xfId="0" applyFont="1" applyFill="1" applyBorder="1" applyAlignment="1" applyProtection="1">
      <alignment horizontal="left" vertical="top" wrapText="1" indent="5"/>
      <protection hidden="1"/>
    </xf>
    <xf numFmtId="0" fontId="6" fillId="48" borderId="56" xfId="0" applyFont="1" applyFill="1" applyBorder="1" applyAlignment="1" applyProtection="1">
      <alignment horizontal="left" vertical="top" wrapText="1" indent="5"/>
      <protection hidden="1"/>
    </xf>
    <xf numFmtId="0" fontId="157" fillId="80" borderId="76" xfId="0" applyFont="1" applyFill="1" applyBorder="1" applyAlignment="1" applyProtection="1">
      <alignment horizontal="left" vertical="top"/>
      <protection hidden="1"/>
    </xf>
    <xf numFmtId="0" fontId="157" fillId="80" borderId="91" xfId="0" applyFont="1" applyFill="1" applyBorder="1" applyAlignment="1" applyProtection="1">
      <alignment horizontal="left" vertical="top"/>
      <protection hidden="1"/>
    </xf>
    <xf numFmtId="0" fontId="6" fillId="107" borderId="21" xfId="56" applyFont="1" applyFill="1" applyBorder="1" applyAlignment="1" applyProtection="1">
      <alignment horizontal="left" vertical="center"/>
      <protection hidden="1"/>
    </xf>
    <xf numFmtId="0" fontId="6" fillId="108" borderId="24" xfId="56" applyFont="1" applyFill="1" applyBorder="1" applyAlignment="1" applyProtection="1">
      <alignment horizontal="left" vertical="center"/>
      <protection hidden="1"/>
    </xf>
    <xf numFmtId="0" fontId="6" fillId="109" borderId="22" xfId="56" applyFont="1" applyFill="1" applyBorder="1" applyAlignment="1" applyProtection="1">
      <alignment horizontal="left" vertical="center"/>
      <protection hidden="1"/>
    </xf>
    <xf numFmtId="0" fontId="152" fillId="32" borderId="26" xfId="0" applyFont="1" applyFill="1" applyBorder="1" applyAlignment="1" applyProtection="1">
      <alignment horizontal="center" vertical="center"/>
      <protection hidden="1"/>
    </xf>
    <xf numFmtId="0" fontId="152" fillId="32" borderId="63" xfId="0" applyFont="1" applyFill="1" applyBorder="1" applyAlignment="1" applyProtection="1">
      <alignment horizontal="center" vertical="center"/>
      <protection hidden="1"/>
    </xf>
    <xf numFmtId="0" fontId="152" fillId="32" borderId="25" xfId="0" applyFont="1" applyFill="1" applyBorder="1" applyAlignment="1" applyProtection="1">
      <alignment horizontal="center" vertical="center"/>
      <protection hidden="1"/>
    </xf>
    <xf numFmtId="0" fontId="158" fillId="110" borderId="92" xfId="0" applyFont="1" applyFill="1" applyBorder="1" applyAlignment="1" applyProtection="1">
      <alignment horizontal="left" vertical="center" wrapText="1"/>
      <protection hidden="1"/>
    </xf>
    <xf numFmtId="0" fontId="158" fillId="111" borderId="93" xfId="0" applyFont="1" applyFill="1" applyBorder="1" applyAlignment="1" applyProtection="1">
      <alignment horizontal="left" vertical="center" wrapText="1"/>
      <protection hidden="1"/>
    </xf>
    <xf numFmtId="0" fontId="158" fillId="112" borderId="94" xfId="0" applyFont="1" applyFill="1" applyBorder="1" applyAlignment="1" applyProtection="1">
      <alignment horizontal="left" vertical="center" wrapText="1"/>
      <protection hidden="1"/>
    </xf>
    <xf numFmtId="0" fontId="122" fillId="113" borderId="80" xfId="0" applyFont="1" applyFill="1" applyBorder="1" applyAlignment="1" applyProtection="1">
      <alignment horizontal="left" wrapText="1"/>
      <protection hidden="1"/>
    </xf>
    <xf numFmtId="0" fontId="122" fillId="114" borderId="11" xfId="0" applyFont="1" applyFill="1" applyBorder="1" applyAlignment="1" applyProtection="1">
      <alignment horizontal="left" wrapText="1"/>
      <protection hidden="1"/>
    </xf>
    <xf numFmtId="0" fontId="122" fillId="115" borderId="38" xfId="0" applyFont="1" applyFill="1" applyBorder="1" applyAlignment="1" applyProtection="1">
      <alignment horizontal="left" wrapText="1"/>
      <protection hidden="1"/>
    </xf>
    <xf numFmtId="0" fontId="159" fillId="116" borderId="95" xfId="0" applyFont="1" applyFill="1" applyBorder="1" applyAlignment="1" applyProtection="1">
      <alignment horizontal="left" vertical="top" wrapText="1"/>
      <protection hidden="1"/>
    </xf>
    <xf numFmtId="0" fontId="159" fillId="117" borderId="10" xfId="0" applyFont="1" applyFill="1" applyBorder="1" applyAlignment="1" applyProtection="1">
      <alignment horizontal="left" vertical="top" wrapText="1"/>
      <protection hidden="1"/>
    </xf>
    <xf numFmtId="0" fontId="159" fillId="118" borderId="96" xfId="0" applyFont="1" applyFill="1" applyBorder="1" applyAlignment="1" applyProtection="1">
      <alignment horizontal="left" vertical="top" wrapText="1"/>
      <protection hidden="1"/>
    </xf>
    <xf numFmtId="0" fontId="159" fillId="119" borderId="97" xfId="0" applyFont="1" applyFill="1" applyBorder="1" applyAlignment="1" applyProtection="1">
      <alignment horizontal="left" wrapText="1"/>
      <protection hidden="1"/>
    </xf>
    <xf numFmtId="0" fontId="159" fillId="120" borderId="98" xfId="0" applyFont="1" applyFill="1" applyBorder="1" applyAlignment="1" applyProtection="1">
      <alignment horizontal="left" wrapText="1"/>
      <protection hidden="1"/>
    </xf>
    <xf numFmtId="0" fontId="159" fillId="121" borderId="99" xfId="0" applyFont="1" applyFill="1" applyBorder="1" applyAlignment="1" applyProtection="1">
      <alignment horizontal="left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>
      <alignment horizontal="left" vertical="center"/>
    </xf>
    <xf numFmtId="164" fontId="57" fillId="53" borderId="58" xfId="0" applyNumberFormat="1" applyFont="1" applyFill="1" applyBorder="1" applyAlignment="1" applyProtection="1">
      <alignment horizontal="center" vertical="center" wrapText="1"/>
      <protection hidden="1"/>
    </xf>
    <xf numFmtId="0" fontId="57" fillId="53" borderId="31" xfId="0" applyFont="1" applyFill="1" applyBorder="1" applyAlignment="1" applyProtection="1">
      <alignment horizontal="center" vertical="center" wrapText="1"/>
      <protection hidden="1"/>
    </xf>
    <xf numFmtId="0" fontId="58" fillId="53" borderId="56" xfId="0" applyFont="1" applyFill="1" applyBorder="1" applyAlignment="1" applyProtection="1">
      <alignment horizontal="center" vertical="center" wrapText="1"/>
      <protection hidden="1"/>
    </xf>
    <xf numFmtId="0" fontId="58" fillId="53" borderId="100" xfId="0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Alignment="1">
      <alignment horizontal="left" wrapText="1"/>
    </xf>
    <xf numFmtId="0" fontId="9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164" fontId="7" fillId="53" borderId="53" xfId="0" applyNumberFormat="1" applyFont="1" applyFill="1" applyBorder="1" applyAlignment="1" applyProtection="1">
      <alignment horizontal="center" vertical="center" wrapText="1"/>
      <protection hidden="1"/>
    </xf>
    <xf numFmtId="164" fontId="9" fillId="53" borderId="100" xfId="0" applyNumberFormat="1" applyFont="1" applyFill="1" applyBorder="1" applyAlignment="1" applyProtection="1">
      <alignment horizontal="center" vertical="center" wrapText="1"/>
      <protection hidden="1"/>
    </xf>
    <xf numFmtId="1" fontId="160" fillId="0" borderId="0" xfId="0" applyNumberFormat="1" applyFont="1" applyBorder="1" applyAlignment="1" applyProtection="1">
      <alignment horizontal="center" vertical="center" wrapText="1"/>
      <protection hidden="1"/>
    </xf>
    <xf numFmtId="2" fontId="7" fillId="0" borderId="64" xfId="0" applyNumberFormat="1" applyFont="1" applyBorder="1" applyAlignment="1" applyProtection="1">
      <alignment horizontal="center" vertical="top"/>
      <protection hidden="1"/>
    </xf>
    <xf numFmtId="1" fontId="4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40" fillId="122" borderId="101" xfId="43" applyFont="1" applyFill="1" applyBorder="1" applyAlignment="1" applyProtection="1">
      <alignment horizontal="center" vertical="center" wrapText="1"/>
      <protection/>
    </xf>
    <xf numFmtId="0" fontId="40" fillId="123" borderId="102" xfId="43" applyFont="1" applyFill="1" applyBorder="1" applyAlignment="1" applyProtection="1">
      <alignment horizontal="center" vertical="center" wrapText="1"/>
      <protection/>
    </xf>
    <xf numFmtId="0" fontId="7" fillId="53" borderId="14" xfId="0" applyFont="1" applyFill="1" applyBorder="1" applyAlignment="1" applyProtection="1">
      <alignment horizontal="center" vertical="center" wrapText="1"/>
      <protection hidden="1"/>
    </xf>
    <xf numFmtId="0" fontId="7" fillId="53" borderId="13" xfId="0" applyFont="1" applyFill="1" applyBorder="1" applyAlignment="1" applyProtection="1">
      <alignment horizontal="center" vertical="center" wrapText="1"/>
      <protection hidden="1"/>
    </xf>
    <xf numFmtId="0" fontId="7" fillId="53" borderId="14" xfId="0" applyFont="1" applyFill="1" applyBorder="1" applyAlignment="1" applyProtection="1">
      <alignment horizontal="center" vertical="center"/>
      <protection hidden="1"/>
    </xf>
    <xf numFmtId="0" fontId="7" fillId="53" borderId="10" xfId="0" applyFont="1" applyFill="1" applyBorder="1" applyAlignment="1" applyProtection="1">
      <alignment horizontal="center" vertical="center"/>
      <protection hidden="1"/>
    </xf>
    <xf numFmtId="0" fontId="7" fillId="53" borderId="14" xfId="0" applyFont="1" applyFill="1" applyBorder="1" applyAlignment="1" applyProtection="1">
      <alignment horizontal="left" vertical="center"/>
      <protection hidden="1"/>
    </xf>
    <xf numFmtId="0" fontId="7" fillId="53" borderId="10" xfId="0" applyFont="1" applyFill="1" applyBorder="1" applyAlignment="1" applyProtection="1">
      <alignment horizontal="left" vertical="center"/>
      <protection hidden="1"/>
    </xf>
    <xf numFmtId="0" fontId="142" fillId="0" borderId="0" xfId="0" applyFont="1" applyAlignment="1">
      <alignment horizontal="left" vertical="top" wrapText="1"/>
    </xf>
    <xf numFmtId="0" fontId="161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66" xfId="0" applyFont="1" applyBorder="1" applyAlignment="1" applyProtection="1">
      <alignment wrapText="1"/>
      <protection hidden="1"/>
    </xf>
    <xf numFmtId="0" fontId="3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6">
    <dxf>
      <font>
        <b/>
        <i val="0"/>
      </font>
      <fill>
        <patternFill patternType="solid">
          <bgColor indexed="18"/>
        </patternFill>
      </fill>
    </dxf>
    <dxf/>
    <dxf/>
    <dxf>
      <font>
        <b/>
        <i val="0"/>
      </font>
      <fill>
        <patternFill patternType="none">
          <bgColor indexed="65"/>
        </patternFill>
      </fill>
    </dxf>
    <dxf/>
    <dxf>
      <font>
        <b/>
        <i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904875</xdr:colOff>
      <xdr:row>0</xdr:row>
      <xdr:rowOff>133350</xdr:rowOff>
    </xdr:from>
    <xdr:to>
      <xdr:col>14</xdr:col>
      <xdr:colOff>504825</xdr:colOff>
      <xdr:row>0</xdr:row>
      <xdr:rowOff>476250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133350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172</xdr:row>
      <xdr:rowOff>9525</xdr:rowOff>
    </xdr:from>
    <xdr:to>
      <xdr:col>2</xdr:col>
      <xdr:colOff>1438275</xdr:colOff>
      <xdr:row>173</xdr:row>
      <xdr:rowOff>133350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401800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C161:C164" comment="" totalsRowShown="0">
  <autoFilter ref="C161:C164"/>
  <tableColumns count="1">
    <tableColumn id="1" name="ön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214"/>
  <sheetViews>
    <sheetView showGridLines="0" tabSelected="1" showOutlineSymbols="0" zoomScale="70" zoomScaleNormal="70" zoomScaleSheetLayoutView="100" zoomScalePageLayoutView="0" workbookViewId="0" topLeftCell="B1">
      <selection activeCell="I31" sqref="I31:O31"/>
    </sheetView>
  </sheetViews>
  <sheetFormatPr defaultColWidth="9.140625" defaultRowHeight="18.75" customHeight="1"/>
  <cols>
    <col min="1" max="1" width="8.00390625" style="6" hidden="1" customWidth="1"/>
    <col min="2" max="2" width="4.140625" style="5" customWidth="1"/>
    <col min="3" max="3" width="26.140625" style="6" customWidth="1"/>
    <col min="4" max="4" width="22.421875" style="6" customWidth="1"/>
    <col min="5" max="5" width="16.28125" style="6" customWidth="1"/>
    <col min="6" max="6" width="20.57421875" style="6" customWidth="1"/>
    <col min="7" max="7" width="1.8515625" style="11" hidden="1" customWidth="1"/>
    <col min="8" max="8" width="15.28125" style="15" customWidth="1"/>
    <col min="9" max="9" width="14.28125" style="12" customWidth="1"/>
    <col min="10" max="10" width="5.28125" style="12" hidden="1" customWidth="1"/>
    <col min="11" max="11" width="20.8515625" style="13" customWidth="1"/>
    <col min="12" max="12" width="0.42578125" style="13" customWidth="1"/>
    <col min="13" max="13" width="23.00390625" style="15" customWidth="1"/>
    <col min="14" max="14" width="26.7109375" style="6" customWidth="1"/>
    <col min="15" max="15" width="9.140625" style="6" customWidth="1"/>
    <col min="16" max="18" width="15.00390625" style="224" hidden="1" customWidth="1"/>
    <col min="19" max="19" width="14.8515625" style="224" hidden="1" customWidth="1"/>
    <col min="20" max="20" width="16.28125" style="225" hidden="1" customWidth="1"/>
    <col min="21" max="21" width="15.7109375" style="224" customWidth="1"/>
    <col min="22" max="22" width="28.57421875" style="224" bestFit="1" customWidth="1"/>
    <col min="23" max="23" width="22.57421875" style="224" customWidth="1"/>
    <col min="24" max="24" width="9.8515625" style="224" bestFit="1" customWidth="1"/>
    <col min="25" max="16384" width="9.140625" style="6" customWidth="1"/>
  </cols>
  <sheetData>
    <row r="1" spans="1:14" ht="44.25" customHeight="1" thickBot="1">
      <c r="A1" s="436" t="s">
        <v>204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95"/>
    </row>
    <row r="2" spans="2:25" ht="18.75" customHeight="1" thickBot="1">
      <c r="B2" s="467" t="s">
        <v>68</v>
      </c>
      <c r="C2" s="468"/>
      <c r="D2" s="461"/>
      <c r="E2" s="461"/>
      <c r="F2" s="461"/>
      <c r="G2" s="461"/>
      <c r="H2" s="462"/>
      <c r="I2" s="467" t="s">
        <v>72</v>
      </c>
      <c r="J2" s="468"/>
      <c r="K2" s="468"/>
      <c r="L2" s="106"/>
      <c r="M2" s="201" t="s">
        <v>108</v>
      </c>
      <c r="N2" s="202">
        <f>T4</f>
        <v>271400</v>
      </c>
      <c r="O2" s="200"/>
      <c r="P2" s="229"/>
      <c r="Q2" s="229"/>
      <c r="R2" s="229"/>
      <c r="S2" s="229"/>
      <c r="T2" s="230" t="s">
        <v>170</v>
      </c>
      <c r="U2" s="229"/>
      <c r="V2" s="229"/>
      <c r="W2" s="229"/>
      <c r="X2" s="229"/>
      <c r="Y2" s="229"/>
    </row>
    <row r="3" spans="2:25" ht="18.75" customHeight="1" thickBot="1">
      <c r="B3" s="208"/>
      <c r="C3" s="206"/>
      <c r="D3" s="463"/>
      <c r="E3" s="463"/>
      <c r="F3" s="463"/>
      <c r="G3" s="463"/>
      <c r="H3" s="464"/>
      <c r="I3" s="465"/>
      <c r="J3" s="466"/>
      <c r="K3" s="466"/>
      <c r="L3" s="132"/>
      <c r="M3" s="203" t="s">
        <v>107</v>
      </c>
      <c r="N3" s="204">
        <f>+K30</f>
        <v>0</v>
      </c>
      <c r="O3" s="105"/>
      <c r="P3" s="229"/>
      <c r="Q3" s="229"/>
      <c r="R3" s="230" t="s">
        <v>217</v>
      </c>
      <c r="S3" s="229"/>
      <c r="T3" s="230" t="s">
        <v>169</v>
      </c>
      <c r="U3" s="229"/>
      <c r="Y3" s="229"/>
    </row>
    <row r="4" spans="2:26" ht="22.5" customHeight="1" thickBot="1">
      <c r="B4" s="209"/>
      <c r="C4" s="207" t="s">
        <v>69</v>
      </c>
      <c r="D4" s="469" t="s">
        <v>197</v>
      </c>
      <c r="E4" s="470"/>
      <c r="F4" s="472" t="s">
        <v>70</v>
      </c>
      <c r="G4" s="473"/>
      <c r="H4" s="473"/>
      <c r="I4" s="471"/>
      <c r="J4" s="471"/>
      <c r="K4" s="471"/>
      <c r="L4" s="132"/>
      <c r="M4" s="205" t="s">
        <v>109</v>
      </c>
      <c r="N4" s="217">
        <f>N2-N3</f>
        <v>271400</v>
      </c>
      <c r="O4" s="185"/>
      <c r="P4" s="231">
        <f>N4/1.3451</f>
        <v>201769.38517582335</v>
      </c>
      <c r="Q4" s="231">
        <f>+D30</f>
        <v>0</v>
      </c>
      <c r="R4" s="231">
        <f>+Q4+P4</f>
        <v>201769.38517582335</v>
      </c>
      <c r="S4" s="229"/>
      <c r="T4" s="233">
        <v>271400</v>
      </c>
      <c r="U4" s="278"/>
      <c r="V4" s="279"/>
      <c r="Y4" s="232"/>
      <c r="Z4" s="11"/>
    </row>
    <row r="5" spans="2:26" ht="21.75" customHeight="1" thickBot="1">
      <c r="B5" s="383" t="s">
        <v>113</v>
      </c>
      <c r="C5" s="384"/>
      <c r="D5" s="385"/>
      <c r="E5" s="385"/>
      <c r="F5" s="385"/>
      <c r="G5" s="385"/>
      <c r="H5" s="386"/>
      <c r="I5" s="210" t="s">
        <v>71</v>
      </c>
      <c r="J5" s="49"/>
      <c r="K5" s="49"/>
      <c r="L5" s="7"/>
      <c r="M5" s="437" t="str">
        <f>IF(N4&lt;0,"T ú l l é p t e   a   k e r e t e t !",IF(N4=0,"ÖN AZ EGÉSZ KERETET FELHASZNÁLTA.","Kérjük, az egész keretet használja fel!"))</f>
        <v>Kérjük, az egész keretet használja fel!</v>
      </c>
      <c r="N5" s="438"/>
      <c r="O5" s="439"/>
      <c r="P5" s="234">
        <f>+P4-Q5</f>
        <v>200000</v>
      </c>
      <c r="Q5" s="231">
        <f>+Q4+P4-200000</f>
        <v>1769.3851758233504</v>
      </c>
      <c r="R5" s="232" t="s">
        <v>218</v>
      </c>
      <c r="S5" s="232"/>
      <c r="T5" s="234"/>
      <c r="U5" s="232"/>
      <c r="Y5" s="232"/>
      <c r="Z5" s="11"/>
    </row>
    <row r="6" spans="2:26" ht="49.5" customHeight="1" thickBot="1" thickTop="1">
      <c r="B6" s="387" t="s">
        <v>248</v>
      </c>
      <c r="C6" s="388"/>
      <c r="D6" s="388"/>
      <c r="E6" s="388"/>
      <c r="F6" s="389"/>
      <c r="G6" s="389"/>
      <c r="H6" s="390"/>
      <c r="I6" s="442"/>
      <c r="J6" s="443"/>
      <c r="K6" s="443"/>
      <c r="L6" s="7"/>
      <c r="M6" s="430" t="str">
        <f>IF(AND(D2&lt;&gt;"",D4&gt;0,I3&gt;0,I4&gt;0,C33&gt;0,D33&gt;0,N4=0,E30="",K32="",I31&lt;&gt;"Felhasználta a juttatásra meghatározott maximum keretet, válasszon másik elemet!"),"NYOMTATHATÓ A NYILATKOZAT !","HA A TELJES KERETÉT MÁR FELHASZNÁLTA, akkor a maradványra, személyes adatokra, keltezésre vonatkozó részt is szíveskedjék kitölteni!")</f>
        <v>HA A TELJES KERETÉT MÁR FELHASZNÁLTA, akkor a maradványra, személyes adatokra, keltezésre vonatkozó részt is szíveskedjék kitölteni!</v>
      </c>
      <c r="N6" s="431"/>
      <c r="O6" s="432"/>
      <c r="P6" s="231">
        <f>200000-D30</f>
        <v>200000</v>
      </c>
      <c r="Q6" s="231"/>
      <c r="R6" s="231"/>
      <c r="S6" s="232"/>
      <c r="T6" s="231"/>
      <c r="U6" s="232"/>
      <c r="V6" s="232"/>
      <c r="W6" s="232"/>
      <c r="X6" s="232"/>
      <c r="Y6" s="232"/>
      <c r="Z6" s="11"/>
    </row>
    <row r="7" spans="2:26" s="8" customFormat="1" ht="51.75" customHeight="1">
      <c r="B7" s="381" t="s">
        <v>63</v>
      </c>
      <c r="C7" s="382"/>
      <c r="D7" s="474"/>
      <c r="E7" s="475"/>
      <c r="F7" s="109" t="s">
        <v>112</v>
      </c>
      <c r="G7" s="108"/>
      <c r="H7" s="109" t="s">
        <v>203</v>
      </c>
      <c r="I7" s="38" t="s">
        <v>51</v>
      </c>
      <c r="J7" s="38"/>
      <c r="K7" s="109" t="s">
        <v>110</v>
      </c>
      <c r="L7" s="38"/>
      <c r="M7" s="181" t="s">
        <v>104</v>
      </c>
      <c r="N7" s="440" t="s">
        <v>105</v>
      </c>
      <c r="O7" s="441"/>
      <c r="P7" s="235"/>
      <c r="Q7" s="235"/>
      <c r="R7" s="235"/>
      <c r="S7" s="236"/>
      <c r="T7" s="237"/>
      <c r="U7" s="238"/>
      <c r="V7" s="238"/>
      <c r="W7" s="238"/>
      <c r="X7" s="238"/>
      <c r="Y7" s="238"/>
      <c r="Z7" s="40"/>
    </row>
    <row r="8" spans="1:26" s="8" customFormat="1" ht="27" customHeight="1" thickBot="1">
      <c r="A8" s="174" t="s">
        <v>175</v>
      </c>
      <c r="B8" s="391"/>
      <c r="C8" s="392"/>
      <c r="D8" s="111"/>
      <c r="E8" s="111"/>
      <c r="F8" s="111"/>
      <c r="G8" s="111"/>
      <c r="H8" s="112"/>
      <c r="I8" s="113"/>
      <c r="J8" s="113"/>
      <c r="K8" s="114"/>
      <c r="L8" s="114"/>
      <c r="M8" s="115"/>
      <c r="N8" s="133"/>
      <c r="O8" s="134"/>
      <c r="P8" s="239"/>
      <c r="Q8" s="239"/>
      <c r="R8" s="239"/>
      <c r="S8" s="240"/>
      <c r="T8" s="241"/>
      <c r="U8" s="242"/>
      <c r="V8" s="238"/>
      <c r="W8" s="238"/>
      <c r="X8" s="238"/>
      <c r="Y8" s="238"/>
      <c r="Z8" s="40"/>
    </row>
    <row r="9" spans="1:26" s="10" customFormat="1" ht="24" customHeight="1" thickBot="1" thickTop="1">
      <c r="A9" s="171"/>
      <c r="B9" s="117" t="s">
        <v>1</v>
      </c>
      <c r="C9" s="397" t="s">
        <v>126</v>
      </c>
      <c r="D9" s="398"/>
      <c r="E9" s="399"/>
      <c r="F9" s="175" t="s">
        <v>216</v>
      </c>
      <c r="G9" s="72"/>
      <c r="H9" s="197">
        <v>0</v>
      </c>
      <c r="I9" s="107">
        <v>1</v>
      </c>
      <c r="J9" s="68"/>
      <c r="K9" s="121">
        <f>IF(AND(OR(H9&gt;=100000,H9=0),H9&lt;=271400),(H9*I9),"A beírt összeg rossz!")</f>
        <v>0</v>
      </c>
      <c r="L9" s="36"/>
      <c r="M9" s="183">
        <f>IF($N$4&gt;0,IF($N$4&lt;271400,IF(271400-K9&lt;=$N$4,271400-K9,IF(($N$4/I9)&gt;1,$N$4/I9,0)),271400-K9),0)</f>
        <v>271400</v>
      </c>
      <c r="N9" s="365">
        <f>IF(K9="A beírt összeg rossz!","A program nem veszi figyelembe.","")</f>
      </c>
      <c r="O9" s="366"/>
      <c r="P9" s="243"/>
      <c r="Q9" s="243"/>
      <c r="R9" s="243"/>
      <c r="S9" s="243"/>
      <c r="T9" s="244"/>
      <c r="U9" s="243"/>
      <c r="V9" s="243"/>
      <c r="W9" s="238"/>
      <c r="X9" s="243"/>
      <c r="Y9" s="243"/>
      <c r="Z9" s="83"/>
    </row>
    <row r="10" spans="1:26" s="10" customFormat="1" ht="24" customHeight="1" thickBot="1" thickTop="1">
      <c r="A10" s="171"/>
      <c r="B10" s="116" t="s">
        <v>2</v>
      </c>
      <c r="C10" s="319" t="s">
        <v>259</v>
      </c>
      <c r="D10" s="320"/>
      <c r="E10" s="321"/>
      <c r="F10" s="175" t="s">
        <v>191</v>
      </c>
      <c r="G10" s="110"/>
      <c r="H10" s="198">
        <v>0</v>
      </c>
      <c r="I10" s="70">
        <v>1</v>
      </c>
      <c r="J10" s="51"/>
      <c r="K10" s="120">
        <f>IF(H10=0,H10,IF(AND(H10&lt;=271400),(H10*I10),"A beírt összeg rossz!"))</f>
        <v>0</v>
      </c>
      <c r="L10" s="52"/>
      <c r="M10" s="183">
        <f>IF($N$4&gt;0,IF($N$4&lt;271400,IF(271400-K10&lt;=$N$4,271400-K10,IF(($N$4/I10)&gt;1,$N$4/I10,0)),271400-K10),0)</f>
        <v>271400</v>
      </c>
      <c r="N10" s="317">
        <f>IF(K10="A beírt összeg rossz!","A program nem veszi figyelembe.","")</f>
      </c>
      <c r="O10" s="318"/>
      <c r="P10" s="243"/>
      <c r="Q10" s="274" t="s">
        <v>237</v>
      </c>
      <c r="R10" s="274" t="s">
        <v>238</v>
      </c>
      <c r="S10" s="274" t="s">
        <v>239</v>
      </c>
      <c r="T10" s="244"/>
      <c r="U10" s="243"/>
      <c r="V10" s="243"/>
      <c r="W10" s="238"/>
      <c r="X10" s="243"/>
      <c r="Y10" s="243"/>
      <c r="Z10" s="83"/>
    </row>
    <row r="11" spans="1:26" s="10" customFormat="1" ht="24" customHeight="1" thickBot="1" thickTop="1">
      <c r="A11" s="171"/>
      <c r="B11" s="167" t="s">
        <v>3</v>
      </c>
      <c r="C11" s="319" t="s">
        <v>260</v>
      </c>
      <c r="D11" s="320"/>
      <c r="E11" s="321"/>
      <c r="F11" s="176" t="s">
        <v>157</v>
      </c>
      <c r="G11" s="110"/>
      <c r="H11" s="198">
        <v>0</v>
      </c>
      <c r="I11" s="70">
        <v>1</v>
      </c>
      <c r="J11" s="51"/>
      <c r="K11" s="120">
        <f>IF(H11=0,H11,IF(AND(H11&lt;=50000),(H11*I11),"A beírt összeg rossz!"))</f>
        <v>0</v>
      </c>
      <c r="L11" s="52"/>
      <c r="M11" s="183">
        <f>IF($N$4&gt;=0,IF($N$4&lt;50000,IF(50000-K11&lt;=$N$4,50000-K11,IF(($N$4/I11)&gt;1,N4/I11,0)),50000-K11),0)</f>
        <v>50000</v>
      </c>
      <c r="N11" s="317">
        <f>IF(K11="A beírt összeg rossz!","A program nem veszi figyelembe.","")</f>
      </c>
      <c r="O11" s="318"/>
      <c r="P11" s="244" t="s">
        <v>240</v>
      </c>
      <c r="Q11" s="275" t="s">
        <v>234</v>
      </c>
      <c r="R11" s="276" t="s">
        <v>235</v>
      </c>
      <c r="S11" s="277" t="s">
        <v>236</v>
      </c>
      <c r="U11" s="243"/>
      <c r="V11" s="243"/>
      <c r="W11" s="238"/>
      <c r="X11" s="243"/>
      <c r="Y11" s="243"/>
      <c r="Z11" s="83"/>
    </row>
    <row r="12" spans="1:26" s="10" customFormat="1" ht="24" customHeight="1" thickBot="1" thickTop="1">
      <c r="A12" s="172" t="s">
        <v>174</v>
      </c>
      <c r="B12" s="167" t="s">
        <v>4</v>
      </c>
      <c r="C12" s="476" t="s">
        <v>224</v>
      </c>
      <c r="D12" s="477"/>
      <c r="E12" s="478"/>
      <c r="F12" s="176" t="s">
        <v>201</v>
      </c>
      <c r="G12" s="110"/>
      <c r="H12" s="198">
        <v>0</v>
      </c>
      <c r="I12" s="222">
        <f>1+(1.19*29%)</f>
        <v>1.3451</v>
      </c>
      <c r="J12" s="51"/>
      <c r="K12" s="122">
        <f>IF(AND(OR(H12=0,96000&lt;=H12&gt;=1000),MOD(H12,1000)=0,D30&lt;=200000),ROUND((H12*I12),0),"A beírt összeg rossz!")</f>
        <v>0</v>
      </c>
      <c r="L12" s="52"/>
      <c r="M12" s="183">
        <f>IF(AND($N$4/I12&gt;=1000,H12&lt;96000,D30&lt;200000),ROUNDDOWN(P12,-3),0)</f>
        <v>96000</v>
      </c>
      <c r="N12" s="317">
        <f>IF(K12="A beírt összeg rossz!","A program nem veszi figyelembe.","")</f>
      </c>
      <c r="O12" s="318"/>
      <c r="P12" s="282">
        <f>MIN(Q12:S12)</f>
        <v>96000</v>
      </c>
      <c r="Q12" s="283">
        <f>96000-H12</f>
        <v>96000</v>
      </c>
      <c r="R12" s="284">
        <f>+P5</f>
        <v>200000</v>
      </c>
      <c r="S12" s="285">
        <f>ROUND(+P4,0)</f>
        <v>201769</v>
      </c>
      <c r="U12" s="243"/>
      <c r="W12" s="238"/>
      <c r="X12" s="243"/>
      <c r="Y12" s="243"/>
      <c r="Z12" s="83"/>
    </row>
    <row r="13" spans="1:26" s="10" customFormat="1" ht="24" customHeight="1" thickBot="1" thickTop="1">
      <c r="A13" s="171" t="s">
        <v>4</v>
      </c>
      <c r="B13" s="364" t="s">
        <v>13</v>
      </c>
      <c r="C13" s="308" t="s">
        <v>210</v>
      </c>
      <c r="D13" s="309"/>
      <c r="E13" s="310"/>
      <c r="F13" s="312" t="s">
        <v>173</v>
      </c>
      <c r="G13" s="329"/>
      <c r="H13" s="340">
        <v>0</v>
      </c>
      <c r="I13" s="363">
        <v>1.3451</v>
      </c>
      <c r="J13" s="71"/>
      <c r="K13" s="322">
        <f>IF(AND(H13&gt;=0,D30&lt;=200000),ROUND((H13*I13),0),"A beírt összeg rossz!")</f>
        <v>0</v>
      </c>
      <c r="L13" s="36"/>
      <c r="M13" s="324">
        <f>IF($N$4&gt;=0,IF(AND($N$4/I13&lt;=200000,$D$30&lt;200000,$N$4/I13&lt;(200000-$D$30)),ROUNDDOWN(($N$4/I13),0),(200000-$D$30)),0)</f>
        <v>200000</v>
      </c>
      <c r="N13" s="325">
        <f>IF(K13="A beírt összeg rossz!","A program nem veszi figyelembe.","")</f>
      </c>
      <c r="O13" s="326"/>
      <c r="P13" s="243"/>
      <c r="Q13" s="243"/>
      <c r="R13" s="243"/>
      <c r="S13" s="243"/>
      <c r="T13" s="244"/>
      <c r="U13" s="243"/>
      <c r="V13" s="243"/>
      <c r="W13" s="238"/>
      <c r="X13" s="243"/>
      <c r="Y13" s="243"/>
      <c r="Z13" s="83"/>
    </row>
    <row r="14" spans="1:26" ht="22.5" customHeight="1" thickBot="1" thickTop="1">
      <c r="A14" s="173"/>
      <c r="B14" s="364"/>
      <c r="C14" s="184" t="s">
        <v>182</v>
      </c>
      <c r="D14" s="367"/>
      <c r="E14" s="368"/>
      <c r="F14" s="312"/>
      <c r="G14" s="329"/>
      <c r="H14" s="340"/>
      <c r="I14" s="363"/>
      <c r="J14" s="77"/>
      <c r="K14" s="323"/>
      <c r="L14" s="52"/>
      <c r="M14" s="324"/>
      <c r="N14" s="327">
        <f>IF(H13&lt;&gt;0,IF(LEN(D14)=0,"Kérem válasszon pénztárat",""),"")</f>
      </c>
      <c r="O14" s="328"/>
      <c r="P14" s="243"/>
      <c r="Q14" s="243"/>
      <c r="R14" s="243"/>
      <c r="S14" s="232"/>
      <c r="T14" s="231"/>
      <c r="U14" s="232"/>
      <c r="V14" s="232"/>
      <c r="W14" s="238"/>
      <c r="X14" s="232"/>
      <c r="Y14" s="232"/>
      <c r="Z14" s="11"/>
    </row>
    <row r="15" spans="1:26" s="10" customFormat="1" ht="24" customHeight="1" thickBot="1" thickTop="1">
      <c r="A15" s="171" t="s">
        <v>13</v>
      </c>
      <c r="B15" s="364" t="s">
        <v>5</v>
      </c>
      <c r="C15" s="308" t="s">
        <v>211</v>
      </c>
      <c r="D15" s="309"/>
      <c r="E15" s="310"/>
      <c r="F15" s="312" t="s">
        <v>173</v>
      </c>
      <c r="G15" s="329"/>
      <c r="H15" s="340">
        <v>0</v>
      </c>
      <c r="I15" s="363">
        <v>1.3451</v>
      </c>
      <c r="J15" s="77"/>
      <c r="K15" s="322">
        <f>IF(AND(H15&gt;=0,D30&lt;=200000),ROUND((H15*I15),0),"A beírt összeg rossz!")</f>
        <v>0</v>
      </c>
      <c r="L15" s="36"/>
      <c r="M15" s="324">
        <f>IF($N$4&gt;=0,IF(AND($N$4/I15&lt;=200000,$D$30&lt;200000,$N$4/I15&lt;(200000-$D$30)),ROUNDDOWN(($N$4/I15),0),(200000-$D$30)),0)</f>
        <v>200000</v>
      </c>
      <c r="N15" s="325">
        <f>IF(K15="A beírt összeg rossz!","A program nem veszi figyelembe.","")</f>
      </c>
      <c r="O15" s="326"/>
      <c r="P15" s="243"/>
      <c r="Q15" s="243"/>
      <c r="R15" s="243"/>
      <c r="S15" s="243"/>
      <c r="T15" s="244"/>
      <c r="U15" s="243"/>
      <c r="V15" s="243"/>
      <c r="W15" s="238"/>
      <c r="X15" s="243"/>
      <c r="Y15" s="243"/>
      <c r="Z15" s="83"/>
    </row>
    <row r="16" spans="1:23" ht="18.75" customHeight="1" thickBot="1" thickTop="1">
      <c r="A16" s="173"/>
      <c r="B16" s="364"/>
      <c r="C16" s="184" t="s">
        <v>182</v>
      </c>
      <c r="D16" s="395"/>
      <c r="E16" s="396"/>
      <c r="F16" s="312"/>
      <c r="G16" s="329"/>
      <c r="H16" s="340"/>
      <c r="I16" s="363"/>
      <c r="J16" s="77"/>
      <c r="K16" s="323"/>
      <c r="L16" s="37"/>
      <c r="M16" s="324"/>
      <c r="N16" s="327">
        <f>IF(H15&lt;&gt;0,IF(LEN(D16)=0,"Kérem válasszon pénztárat",""),"")</f>
      </c>
      <c r="O16" s="328"/>
      <c r="W16" s="238"/>
    </row>
    <row r="17" spans="1:24" s="10" customFormat="1" ht="24" customHeight="1" thickBot="1" thickTop="1">
      <c r="A17" s="171"/>
      <c r="B17" s="364" t="s">
        <v>6</v>
      </c>
      <c r="C17" s="308" t="s">
        <v>212</v>
      </c>
      <c r="D17" s="309"/>
      <c r="E17" s="310"/>
      <c r="F17" s="312" t="s">
        <v>173</v>
      </c>
      <c r="G17" s="362"/>
      <c r="H17" s="340">
        <v>0</v>
      </c>
      <c r="I17" s="363">
        <v>1.3451</v>
      </c>
      <c r="J17" s="77"/>
      <c r="K17" s="322">
        <f>IF(AND(H17&gt;=0,D30&lt;=200000),ROUND((H17*I17),0),"A beírt összeg rossz!")</f>
        <v>0</v>
      </c>
      <c r="L17" s="36"/>
      <c r="M17" s="324">
        <f>IF($N$4&gt;=0,IF(AND($N$4/I17&lt;=200000,$D$30&lt;200000,$N$4/I17&lt;(200000-$D$30)),ROUNDDOWN(($N$4/I17),0),(200000-$D$30)),0)</f>
        <v>200000</v>
      </c>
      <c r="N17" s="325">
        <f>IF(K17="A beírt összeg rossz!","A program nem veszi figyelembe.","")</f>
      </c>
      <c r="O17" s="326"/>
      <c r="P17" s="226"/>
      <c r="Q17" s="226"/>
      <c r="R17" s="226"/>
      <c r="S17" s="226"/>
      <c r="T17" s="227"/>
      <c r="U17" s="226"/>
      <c r="V17" s="226"/>
      <c r="W17" s="226"/>
      <c r="X17" s="226"/>
    </row>
    <row r="18" spans="1:15" ht="18.75" customHeight="1" thickBot="1" thickTop="1">
      <c r="A18" s="173"/>
      <c r="B18" s="364"/>
      <c r="C18" s="184" t="s">
        <v>182</v>
      </c>
      <c r="D18" s="428"/>
      <c r="E18" s="429"/>
      <c r="F18" s="312"/>
      <c r="G18" s="362"/>
      <c r="H18" s="340"/>
      <c r="I18" s="363"/>
      <c r="J18" s="77"/>
      <c r="K18" s="323"/>
      <c r="L18" s="37"/>
      <c r="M18" s="324"/>
      <c r="N18" s="327">
        <f>IF(H17&lt;&gt;0,IF(LEN(D18)=0,"Kérem válasszon pénztárat",""),"")</f>
      </c>
      <c r="O18" s="328"/>
    </row>
    <row r="19" spans="1:24" s="10" customFormat="1" ht="24" customHeight="1" thickBot="1" thickTop="1">
      <c r="A19" s="171"/>
      <c r="B19" s="364" t="s">
        <v>7</v>
      </c>
      <c r="C19" s="359" t="s">
        <v>159</v>
      </c>
      <c r="D19" s="360"/>
      <c r="E19" s="361"/>
      <c r="F19" s="312" t="s">
        <v>214</v>
      </c>
      <c r="G19" s="362"/>
      <c r="H19" s="340">
        <v>0</v>
      </c>
      <c r="I19" s="353">
        <v>1.3451</v>
      </c>
      <c r="J19" s="77"/>
      <c r="K19" s="322">
        <f>IF(AND(H19&gt;=0,H19&lt;201769),ROUND((H19*I19),0),IF(H19=201769,271400,"A beírt összeg rossz!"))</f>
        <v>0</v>
      </c>
      <c r="L19" s="36"/>
      <c r="M19" s="425">
        <f>IF($N$4&gt;0,IF($N$4/I19&lt;=201769,ROUNDDOWN(($N$4/I19),0),201769),0)</f>
        <v>201769</v>
      </c>
      <c r="N19" s="325">
        <f>IF(K19="A beírt összeg rossz!","A program nem veszi figyelembe.","")</f>
      </c>
      <c r="O19" s="326"/>
      <c r="P19" s="226"/>
      <c r="Q19" s="226"/>
      <c r="R19" s="226"/>
      <c r="S19" s="226"/>
      <c r="T19" s="227"/>
      <c r="U19" s="226"/>
      <c r="V19" s="226"/>
      <c r="W19" s="226"/>
      <c r="X19" s="226"/>
    </row>
    <row r="20" spans="1:23" ht="23.25" customHeight="1" thickBot="1" thickTop="1">
      <c r="A20" s="173"/>
      <c r="B20" s="364"/>
      <c r="C20" s="196" t="s">
        <v>166</v>
      </c>
      <c r="D20" s="354" t="s">
        <v>167</v>
      </c>
      <c r="E20" s="355">
        <v>1</v>
      </c>
      <c r="F20" s="312"/>
      <c r="G20" s="362"/>
      <c r="H20" s="340"/>
      <c r="I20" s="353"/>
      <c r="J20" s="77"/>
      <c r="K20" s="323"/>
      <c r="L20" s="37"/>
      <c r="M20" s="425"/>
      <c r="N20" s="327"/>
      <c r="O20" s="328"/>
      <c r="W20" s="287"/>
    </row>
    <row r="21" spans="1:15" ht="26.25" customHeight="1" thickBot="1" thickTop="1">
      <c r="A21" s="173"/>
      <c r="B21" s="118" t="s">
        <v>8</v>
      </c>
      <c r="C21" s="371" t="s">
        <v>189</v>
      </c>
      <c r="D21" s="372"/>
      <c r="E21" s="373"/>
      <c r="F21" s="175" t="s">
        <v>198</v>
      </c>
      <c r="G21" s="142"/>
      <c r="H21" s="197">
        <v>0</v>
      </c>
      <c r="I21" s="164">
        <f>1+(1.19*29%)</f>
        <v>1.3451</v>
      </c>
      <c r="J21" s="77"/>
      <c r="K21" s="122">
        <f>IF(AND(H21&gt;=0,H21&lt;=57300),ROUND((H21*I21),0),"A beírt összeg rossz!")</f>
        <v>0</v>
      </c>
      <c r="L21" s="37"/>
      <c r="M21" s="183">
        <f>IF($N$4&gt;=0,IF($N$4/I21&lt;57300,IF(57300-H21&lt;=$N$4/I21,57300-H21,ROUNDDOWN(($N$4/I21),0)),57300-H21),0)</f>
        <v>57300</v>
      </c>
      <c r="N21" s="369">
        <f>IF(K21="A beírt összeg rossz!","A program nem veszi figyelembe.","")</f>
      </c>
      <c r="O21" s="370"/>
    </row>
    <row r="22" spans="1:15" ht="24" customHeight="1" thickBot="1" thickTop="1">
      <c r="A22" s="173">
        <v>10</v>
      </c>
      <c r="B22" s="118" t="s">
        <v>10</v>
      </c>
      <c r="C22" s="356" t="s">
        <v>160</v>
      </c>
      <c r="D22" s="357"/>
      <c r="E22" s="358"/>
      <c r="F22" s="175" t="s">
        <v>158</v>
      </c>
      <c r="G22" s="142"/>
      <c r="H22" s="197">
        <v>0</v>
      </c>
      <c r="I22" s="164">
        <f>1+(1.19*29%)</f>
        <v>1.3451</v>
      </c>
      <c r="J22" s="77"/>
      <c r="K22" s="122">
        <f>IF(AND(H22&gt;=0,H22&lt;=75000),ROUND((H22*I22),0),"A beírt összeg rossz!")</f>
        <v>0</v>
      </c>
      <c r="L22" s="37"/>
      <c r="M22" s="183">
        <f>IF($N$4&gt;=0,IF($N$4/I22&lt;75000,IF(75000-H22&lt;=$N$4/I22,75000-H22,ROUNDDOWN(($N$4/I22),0)),75000-H22),0)</f>
        <v>75000</v>
      </c>
      <c r="N22" s="369">
        <f>IF(K22="A beírt összeg rossz!","A program nem veszi figyelembe.","")</f>
      </c>
      <c r="O22" s="370"/>
    </row>
    <row r="23" spans="1:24" s="10" customFormat="1" ht="17.25" customHeight="1" hidden="1" thickBot="1" thickTop="1">
      <c r="A23" s="171"/>
      <c r="B23" s="118"/>
      <c r="C23" s="73" t="s">
        <v>121</v>
      </c>
      <c r="D23" s="80"/>
      <c r="E23" s="74"/>
      <c r="F23" s="175" t="s">
        <v>50</v>
      </c>
      <c r="G23" s="79"/>
      <c r="H23" s="197"/>
      <c r="I23" s="76">
        <v>1.3094</v>
      </c>
      <c r="J23" s="77"/>
      <c r="K23" s="122">
        <f>IF(H23=0,H23,IF(AND(H23&gt;=12000,H23&lt;=216000,(MOD(H23,1000)=0)),H23*I23,"A beírt összeg rossz!"))</f>
        <v>0</v>
      </c>
      <c r="L23" s="30"/>
      <c r="M23" s="182">
        <f>IF($N$4&gt;0,IF($N$4/I23&lt;216000,ROUNDDOWN($N$4/I23,-3),216000),0)</f>
        <v>207000</v>
      </c>
      <c r="N23" s="365">
        <f>IF(K23="A beírt összeg rossz!","A program nem veszi figyelembe.","")</f>
      </c>
      <c r="O23" s="366"/>
      <c r="P23" s="226"/>
      <c r="Q23" s="226"/>
      <c r="R23" s="226"/>
      <c r="S23" s="226"/>
      <c r="T23" s="227"/>
      <c r="U23" s="226"/>
      <c r="V23" s="226"/>
      <c r="W23" s="226"/>
      <c r="X23" s="226"/>
    </row>
    <row r="24" spans="1:24" s="10" customFormat="1" ht="24" customHeight="1" thickBot="1" thickTop="1">
      <c r="A24" s="171">
        <v>11</v>
      </c>
      <c r="B24" s="118" t="s">
        <v>11</v>
      </c>
      <c r="C24" s="314" t="s">
        <v>227</v>
      </c>
      <c r="D24" s="315"/>
      <c r="E24" s="316"/>
      <c r="F24" s="175" t="s">
        <v>173</v>
      </c>
      <c r="G24" s="142"/>
      <c r="H24" s="228">
        <v>0</v>
      </c>
      <c r="I24" s="363">
        <f>1+(1.19*29%)</f>
        <v>1.3451</v>
      </c>
      <c r="J24" s="77"/>
      <c r="K24" s="122">
        <f>IF(AND(H24&gt;=0,D30&lt;=200000),ROUND((H24*I24),0),"A beírt összeg rossz!")</f>
        <v>0</v>
      </c>
      <c r="L24" s="37"/>
      <c r="M24" s="324">
        <f>IF($N$4&gt;=0,IF(AND($N$4/I24&lt;=200000,$D$30&lt;200000,$N$4/I24&lt;(200000-$D$30)),IF(($N$4/I24)&gt;1,ROUNDDOWN(($N$4/I24),0),0),(200000-$D$30)),0)</f>
        <v>200000</v>
      </c>
      <c r="N24" s="369">
        <f>IF(K24="A beírt összeg rossz!","A program nem veszi figyelembe.","")</f>
      </c>
      <c r="O24" s="370"/>
      <c r="P24" s="226"/>
      <c r="Q24" s="226"/>
      <c r="R24" s="226"/>
      <c r="S24" s="226"/>
      <c r="T24" s="227"/>
      <c r="U24" s="226"/>
      <c r="V24" s="226"/>
      <c r="W24" s="226"/>
      <c r="X24" s="226"/>
    </row>
    <row r="25" spans="1:24" s="10" customFormat="1" ht="17.25" hidden="1" thickBot="1" thickTop="1">
      <c r="A25" s="171"/>
      <c r="B25" s="118"/>
      <c r="C25" s="73" t="s">
        <v>125</v>
      </c>
      <c r="D25" s="80"/>
      <c r="E25" s="74"/>
      <c r="F25" s="140" t="s">
        <v>122</v>
      </c>
      <c r="G25" s="141"/>
      <c r="H25" s="197"/>
      <c r="I25" s="363"/>
      <c r="J25" s="77"/>
      <c r="K25" s="122">
        <f>IF(AND(H25&gt;=0,H25&lt;=232931),ROUND(H25*I25,0),"A beírt összeg rossz!")</f>
        <v>0</v>
      </c>
      <c r="L25" s="86"/>
      <c r="M25" s="324"/>
      <c r="N25" s="379"/>
      <c r="O25" s="380"/>
      <c r="P25" s="226"/>
      <c r="Q25" s="226"/>
      <c r="R25" s="226"/>
      <c r="S25" s="226"/>
      <c r="T25" s="227"/>
      <c r="U25" s="226"/>
      <c r="V25" s="226"/>
      <c r="W25" s="226"/>
      <c r="X25" s="226"/>
    </row>
    <row r="26" spans="1:24" s="10" customFormat="1" ht="31.5" thickBot="1" thickTop="1">
      <c r="A26" s="171">
        <v>12</v>
      </c>
      <c r="B26" s="118" t="s">
        <v>190</v>
      </c>
      <c r="C26" s="314" t="s">
        <v>223</v>
      </c>
      <c r="D26" s="315"/>
      <c r="E26" s="316"/>
      <c r="F26" s="191" t="s">
        <v>209</v>
      </c>
      <c r="G26" s="72"/>
      <c r="H26" s="261">
        <f>iskolakezédsi!C16</f>
        <v>0</v>
      </c>
      <c r="I26" s="223">
        <f>1+(1.19*29%)</f>
        <v>1.3451</v>
      </c>
      <c r="J26" s="77"/>
      <c r="K26" s="122">
        <f>IF(D30&lt;=200000,iskolakezédsi!E16,"a beírt összeg rossz!")</f>
        <v>0</v>
      </c>
      <c r="L26" s="69"/>
      <c r="M26" s="182">
        <f>IF($N$4&gt;1000,IF($N$4/I26&lt;33300,IF(200000-H26&lt;=$N$4/I26,200000-H26,ROUNDDOWN(P4,-3)),IF(ROUNDDOWN($N$4/I26,-3)&gt;200000,200000,ROUNDDOWN(P26,-3))),0)</f>
        <v>200000</v>
      </c>
      <c r="N26" s="369">
        <f>IF(K26="A beírt összeg rossz!","A program nem veszi figyelembe.","")</f>
      </c>
      <c r="O26" s="370"/>
      <c r="P26" s="280">
        <f>MIN(Q26:S26)</f>
        <v>200000</v>
      </c>
      <c r="Q26" s="281">
        <f>200000-H26</f>
        <v>200000</v>
      </c>
      <c r="R26" s="280">
        <f>+P5</f>
        <v>200000</v>
      </c>
      <c r="S26" s="281">
        <f>ROUND(+P4,0)</f>
        <v>201769</v>
      </c>
      <c r="T26" s="227"/>
      <c r="V26" s="227"/>
      <c r="W26" s="226"/>
      <c r="X26" s="226"/>
    </row>
    <row r="27" spans="2:22" ht="17.25" hidden="1" thickBot="1" thickTop="1">
      <c r="B27" s="119"/>
      <c r="C27" s="84" t="s">
        <v>49</v>
      </c>
      <c r="D27" s="85"/>
      <c r="E27" s="311"/>
      <c r="F27" s="311"/>
      <c r="G27" s="311"/>
      <c r="H27" s="311"/>
      <c r="I27" s="311"/>
      <c r="J27" s="125"/>
      <c r="K27" s="193"/>
      <c r="L27" s="126"/>
      <c r="M27" s="127"/>
      <c r="N27" s="420"/>
      <c r="O27" s="421"/>
      <c r="V27" s="227"/>
    </row>
    <row r="28" spans="2:24" s="10" customFormat="1" ht="17.25" customHeight="1" hidden="1" thickBot="1" thickTop="1">
      <c r="B28" s="118" t="s">
        <v>25</v>
      </c>
      <c r="C28" s="73" t="s">
        <v>12</v>
      </c>
      <c r="D28" s="80"/>
      <c r="E28" s="74"/>
      <c r="F28" s="75" t="s">
        <v>123</v>
      </c>
      <c r="G28" s="78"/>
      <c r="H28" s="128">
        <v>0</v>
      </c>
      <c r="I28" s="81">
        <v>1.285</v>
      </c>
      <c r="J28" s="77"/>
      <c r="K28" s="122">
        <f>IF(AND(H28&gt;=0,H28&lt;=272373),ROUND(H28*I28,0),"A beírt összeg rossz!")</f>
        <v>0</v>
      </c>
      <c r="L28" s="86"/>
      <c r="M28" s="130">
        <f>IF($N$4&gt;0,IF($N$4/I28&lt;272373,IF(ROUND($N$4/I28,0)&gt;2,$N$4/I28,0),272373),0)</f>
        <v>211206.22568093386</v>
      </c>
      <c r="N28" s="365">
        <f>IF(K28="A beírt összeg rossz!","A program nem veszi figyelembe.","")</f>
      </c>
      <c r="O28" s="366"/>
      <c r="P28" s="226"/>
      <c r="Q28" s="226"/>
      <c r="R28" s="226"/>
      <c r="S28" s="226"/>
      <c r="T28" s="227"/>
      <c r="U28" s="226"/>
      <c r="V28" s="227"/>
      <c r="W28" s="226"/>
      <c r="X28" s="226"/>
    </row>
    <row r="29" spans="2:24" s="10" customFormat="1" ht="17.25" customHeight="1" hidden="1" thickBot="1" thickTop="1">
      <c r="B29" s="118" t="s">
        <v>26</v>
      </c>
      <c r="C29" s="73" t="s">
        <v>9</v>
      </c>
      <c r="D29" s="80"/>
      <c r="E29" s="74"/>
      <c r="F29" s="75" t="s">
        <v>124</v>
      </c>
      <c r="G29" s="78"/>
      <c r="H29" s="128">
        <v>0</v>
      </c>
      <c r="I29" s="81">
        <v>1.302</v>
      </c>
      <c r="J29" s="77"/>
      <c r="K29" s="122">
        <f>IF(H29=0,H29,IF(AND(H29&gt;=0,H29&lt;=268000,(MOD(H29,1000)=0)),ROUND(H29*I29,0),"A beírt összeg rossz!"))</f>
        <v>0</v>
      </c>
      <c r="L29" s="86"/>
      <c r="M29" s="130">
        <f>IF($N$4&gt;0,IF($N$4/I29&lt;268817,ROUNDDOWN($N$4/I29,-3),268817),0)</f>
        <v>208000</v>
      </c>
      <c r="N29" s="365">
        <f>IF(K29="A beírt összeg rossz!","A program nem veszi figyelembe.","")</f>
      </c>
      <c r="O29" s="366"/>
      <c r="P29" s="226"/>
      <c r="Q29" s="226"/>
      <c r="R29" s="226"/>
      <c r="S29" s="226"/>
      <c r="T29" s="227"/>
      <c r="U29" s="226"/>
      <c r="V29" s="227"/>
      <c r="W29" s="226"/>
      <c r="X29" s="226"/>
    </row>
    <row r="30" spans="1:24" s="10" customFormat="1" ht="69" customHeight="1" thickBot="1" thickTop="1">
      <c r="A30" s="153"/>
      <c r="B30" s="393" t="s">
        <v>215</v>
      </c>
      <c r="C30" s="394"/>
      <c r="D30" s="260">
        <f>SUM(H26,H24,H17,H15,H13,H12)</f>
        <v>0</v>
      </c>
      <c r="E30" s="351">
        <f>(IF(D30&gt;200000,"Túllépte a 200e Ft-os keretet 
a 4., 5., 6., 7.,11., és 12. elemek vonatkozásában, módosítsa az összeget!",""))</f>
      </c>
      <c r="F30" s="352"/>
      <c r="G30" s="256"/>
      <c r="H30" s="433" t="s">
        <v>64</v>
      </c>
      <c r="I30" s="434"/>
      <c r="J30" s="257"/>
      <c r="K30" s="258">
        <f>SUM(K26,K24,K22,K21,K19,K17,K15,K13,K12,K11,K10,K9)</f>
        <v>0</v>
      </c>
      <c r="L30" s="259"/>
      <c r="M30" s="422" t="s">
        <v>225</v>
      </c>
      <c r="N30" s="423"/>
      <c r="O30" s="424"/>
      <c r="P30" s="226"/>
      <c r="Q30" s="226"/>
      <c r="R30" s="226"/>
      <c r="S30" s="226"/>
      <c r="T30" s="227"/>
      <c r="U30" s="293">
        <f>ROUND(SUM(K26,K24,K22,K21,K19,K17,K15,K13,K12,K11,K10,K9),0)</f>
        <v>0</v>
      </c>
      <c r="V30" s="227"/>
      <c r="W30" s="226"/>
      <c r="X30" s="226"/>
    </row>
    <row r="31" spans="2:20" ht="30.75" customHeight="1" thickBot="1">
      <c r="B31" s="418" t="s">
        <v>195</v>
      </c>
      <c r="C31" s="419"/>
      <c r="D31" s="419"/>
      <c r="E31" s="419"/>
      <c r="F31" s="426" t="s">
        <v>114</v>
      </c>
      <c r="G31" s="427"/>
      <c r="H31" s="199"/>
      <c r="I31" s="377" t="str">
        <f>(IF(H31&gt;4,(CHOOSE(H31,,,,,IF(H13=200000,"Felhasználta a juttatásra meghatározott maximum keretet, válasszon másik elemet!",""),IF(H15=200000,"Felhasználta a juttatásra meghatározott maximum keretet, válasszon másik elemet!",""),IF(H17=200000,"Felhasználta a juttatásra meghatározott maximum keretet, válasszon másik elemet!",""),IF(H19=200000,"Felhasználta a juttatásra meghatározott maximum keretet, válasszon másik elemet!",""),IF(H21=57300,"Felhasználta a juttatásra meghatározott maximum keretet, válasszon másik elemet!",""),IF(H22=75000,"Felhasználta a juttatásra meghatározott maximum keretet, válasszon másik elemet!",""))),"«««   Kérem töltse ki melyik elemet választja!"))</f>
        <v>«««   Kérem töltse ki melyik elemet választja!</v>
      </c>
      <c r="J31" s="378"/>
      <c r="K31" s="378"/>
      <c r="L31" s="378"/>
      <c r="M31" s="378"/>
      <c r="N31" s="378"/>
      <c r="O31" s="378"/>
      <c r="T31" s="224"/>
    </row>
    <row r="32" spans="2:20" ht="54.75" customHeight="1">
      <c r="B32" s="450" t="s">
        <v>199</v>
      </c>
      <c r="C32" s="450"/>
      <c r="D32" s="450"/>
      <c r="E32" s="450"/>
      <c r="F32" s="450"/>
      <c r="G32" s="17"/>
      <c r="H32" s="400"/>
      <c r="I32" s="401"/>
      <c r="J32" s="17"/>
      <c r="K32" s="412" t="str">
        <f>(IF(H32&lt;&gt;"",(CHOOSE(H31,,,,,IF(H32=LOOKUP(H32,C72:C94),"","HIÁNYZIK A MARADVÁNYÖSSZEGRE VONATKOZÓ NYUGDÍJPÉNZTÁR MEGNEVEZÉSE!"),IF(H32=LOOKUP(H32,C102:C115),"","HIÁNYZIK A MARADVÁNYÖSSZEGRE VONATKOZÓ EGÉSZSÉGPÉNZTÁR MEGNEVEZÉSE!"),IF(H32=LOOKUP(H32,C163:C164),"","HIÁNYZIK A MARADVÁNYÖSSZEGRE VONATKOZÓ ÖNSEGÉLYEZŐ PÉNZTÁR MEGNEVEZÉSE!"),IF(H32=LOOKUP(H32,C19:C19),"","NINCS MEGJELÖLVE A MARADVÁNYÖSSZEGRE VONATKOZÓ SZÉP Kártya ALSZÁMLA!"),IF(H32=LOOKUP(H32,C21:C21),"","NINCS MEGJELÖLVE A MARADVÁNYÖSSZEGRE VONATKOZÓ SZÉP Kártya ALSZÁMLA!"),IF(H32=LOOKUP(H32,C22:C22),"","NINCS MEGJELÖLVE A MARADVÁNYÖSSZEGRE VONATKOZÓ SZÉP Kártya ALSZÁMLA! "))),"«««   Kérem töltse ki A PÉNZTÁR NEVÉT / SZÉP kÁRTYA ALSZÁMLÁT IS!"))</f>
        <v>«««   Kérem töltse ki A PÉNZTÁR NEVÉT / SZÉP kÁRTYA ALSZÁMLÁT IS!</v>
      </c>
      <c r="L32" s="412"/>
      <c r="M32" s="412"/>
      <c r="N32" s="412"/>
      <c r="O32" s="412"/>
      <c r="P32" s="412"/>
      <c r="Q32" s="412"/>
      <c r="R32" s="412"/>
      <c r="S32" s="412"/>
      <c r="T32" s="412"/>
    </row>
    <row r="33" spans="2:20" ht="18.75" customHeight="1">
      <c r="B33" s="123"/>
      <c r="C33" s="219"/>
      <c r="D33" s="220">
        <f ca="1">+TODAY()</f>
        <v>42433</v>
      </c>
      <c r="E33" s="339"/>
      <c r="F33" s="339"/>
      <c r="G33" s="339"/>
      <c r="T33" s="224"/>
    </row>
    <row r="34" spans="3:20" ht="18.75" customHeight="1">
      <c r="C34" s="45" t="s">
        <v>66</v>
      </c>
      <c r="D34" s="45" t="s">
        <v>67</v>
      </c>
      <c r="F34" s="45"/>
      <c r="K34" s="45"/>
      <c r="T34" s="224"/>
    </row>
    <row r="35" spans="3:20" ht="18.75" customHeight="1" thickBot="1">
      <c r="C35" s="14"/>
      <c r="G35" s="6"/>
      <c r="H35" s="6"/>
      <c r="T35" s="224"/>
    </row>
    <row r="36" spans="2:20" ht="96.75" customHeight="1">
      <c r="B36" s="482" t="s">
        <v>262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4"/>
      <c r="T36" s="224"/>
    </row>
    <row r="37" spans="2:20" ht="40.5" customHeight="1">
      <c r="B37" s="485" t="s">
        <v>228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7"/>
      <c r="T37" s="224"/>
    </row>
    <row r="38" spans="2:20" ht="27" customHeight="1">
      <c r="B38" s="488" t="s">
        <v>226</v>
      </c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90"/>
      <c r="T38" s="224"/>
    </row>
    <row r="39" spans="2:20" ht="38.25" customHeight="1" thickBot="1">
      <c r="B39" s="491" t="s">
        <v>258</v>
      </c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3"/>
      <c r="T39" s="224"/>
    </row>
    <row r="40" spans="3:20" ht="27.75" customHeight="1">
      <c r="C40" s="170" t="s">
        <v>178</v>
      </c>
      <c r="T40" s="224"/>
    </row>
    <row r="41" spans="3:20" ht="20.25">
      <c r="C41" s="262"/>
      <c r="D41" s="263"/>
      <c r="E41" s="263"/>
      <c r="F41" s="263"/>
      <c r="G41" s="264"/>
      <c r="H41" s="265"/>
      <c r="I41" s="266"/>
      <c r="J41" s="266"/>
      <c r="K41" s="267"/>
      <c r="L41" s="267"/>
      <c r="M41" s="265"/>
      <c r="N41" s="263"/>
      <c r="T41" s="224"/>
    </row>
    <row r="42" spans="3:20" ht="20.25" hidden="1">
      <c r="C42" s="129"/>
      <c r="T42" s="224"/>
    </row>
    <row r="43" spans="3:20" ht="20.25" hidden="1">
      <c r="C43" s="129">
        <v>0</v>
      </c>
      <c r="T43" s="224"/>
    </row>
    <row r="44" spans="3:20" ht="20.25" hidden="1">
      <c r="C44" s="194">
        <v>12000</v>
      </c>
      <c r="T44" s="224"/>
    </row>
    <row r="45" spans="3:20" ht="20.25" hidden="1">
      <c r="C45" s="194">
        <v>16000</v>
      </c>
      <c r="T45" s="224"/>
    </row>
    <row r="46" spans="3:20" ht="20.25" hidden="1">
      <c r="C46" s="194">
        <v>20000</v>
      </c>
      <c r="T46" s="224"/>
    </row>
    <row r="47" spans="3:20" ht="20.25" hidden="1">
      <c r="C47" s="194">
        <v>24000</v>
      </c>
      <c r="T47" s="224"/>
    </row>
    <row r="48" spans="2:20" ht="20.25" hidden="1">
      <c r="B48" s="6"/>
      <c r="C48" s="194">
        <v>28000</v>
      </c>
      <c r="G48" s="6"/>
      <c r="H48" s="6"/>
      <c r="I48" s="6"/>
      <c r="J48" s="6"/>
      <c r="K48" s="6"/>
      <c r="L48" s="6"/>
      <c r="M48" s="6"/>
      <c r="T48" s="224"/>
    </row>
    <row r="49" spans="2:20" ht="20.25" hidden="1">
      <c r="B49" s="6"/>
      <c r="C49" s="194">
        <v>32000</v>
      </c>
      <c r="G49" s="6"/>
      <c r="H49" s="6"/>
      <c r="I49" s="6"/>
      <c r="J49" s="6"/>
      <c r="K49" s="6"/>
      <c r="L49" s="6"/>
      <c r="M49" s="6"/>
      <c r="T49" s="224"/>
    </row>
    <row r="50" spans="2:20" ht="20.25" hidden="1">
      <c r="B50" s="6"/>
      <c r="C50" s="194">
        <v>36000</v>
      </c>
      <c r="G50" s="6"/>
      <c r="H50" s="6"/>
      <c r="I50" s="6"/>
      <c r="J50" s="6"/>
      <c r="K50" s="6"/>
      <c r="L50" s="6"/>
      <c r="M50" s="6"/>
      <c r="T50" s="224"/>
    </row>
    <row r="51" spans="2:20" ht="20.25" hidden="1">
      <c r="B51" s="6"/>
      <c r="C51" s="194">
        <v>40000</v>
      </c>
      <c r="G51" s="6"/>
      <c r="H51" s="6"/>
      <c r="I51" s="6"/>
      <c r="J51" s="6"/>
      <c r="K51" s="6"/>
      <c r="L51" s="6"/>
      <c r="M51" s="6"/>
      <c r="T51" s="224"/>
    </row>
    <row r="52" spans="2:20" ht="20.25" hidden="1">
      <c r="B52" s="6"/>
      <c r="C52" s="194">
        <v>44000</v>
      </c>
      <c r="G52" s="6"/>
      <c r="H52" s="6"/>
      <c r="I52" s="6"/>
      <c r="J52" s="6"/>
      <c r="K52" s="6"/>
      <c r="L52" s="6"/>
      <c r="M52" s="6"/>
      <c r="T52" s="224"/>
    </row>
    <row r="53" spans="2:20" ht="20.25" hidden="1">
      <c r="B53" s="6"/>
      <c r="C53" s="194">
        <v>48000</v>
      </c>
      <c r="G53" s="6"/>
      <c r="H53" s="6"/>
      <c r="I53" s="6"/>
      <c r="J53" s="6"/>
      <c r="K53" s="6"/>
      <c r="L53" s="6"/>
      <c r="M53" s="6"/>
      <c r="T53" s="224"/>
    </row>
    <row r="54" spans="2:20" ht="20.25" hidden="1">
      <c r="B54" s="6"/>
      <c r="C54" s="194">
        <v>52000</v>
      </c>
      <c r="G54" s="6"/>
      <c r="H54" s="6"/>
      <c r="I54" s="6"/>
      <c r="J54" s="6"/>
      <c r="K54" s="6"/>
      <c r="L54" s="6"/>
      <c r="M54" s="6"/>
      <c r="T54" s="224"/>
    </row>
    <row r="55" spans="2:20" ht="20.25" hidden="1">
      <c r="B55" s="6"/>
      <c r="C55" s="194">
        <v>56000</v>
      </c>
      <c r="G55" s="6"/>
      <c r="H55" s="6"/>
      <c r="I55" s="6"/>
      <c r="J55" s="6"/>
      <c r="K55" s="6"/>
      <c r="L55" s="6"/>
      <c r="M55" s="6"/>
      <c r="T55" s="224"/>
    </row>
    <row r="56" spans="2:20" ht="20.25" hidden="1">
      <c r="B56" s="6"/>
      <c r="C56" s="194">
        <v>60000</v>
      </c>
      <c r="G56" s="6"/>
      <c r="H56" s="6"/>
      <c r="I56" s="6"/>
      <c r="J56" s="6"/>
      <c r="K56" s="6"/>
      <c r="L56" s="6"/>
      <c r="M56" s="6"/>
      <c r="T56" s="224"/>
    </row>
    <row r="57" spans="2:20" ht="20.25" hidden="1">
      <c r="B57" s="6"/>
      <c r="C57" s="194">
        <v>64000</v>
      </c>
      <c r="G57" s="6"/>
      <c r="H57" s="6"/>
      <c r="I57" s="6"/>
      <c r="J57" s="6"/>
      <c r="K57" s="6"/>
      <c r="L57" s="6"/>
      <c r="M57" s="6"/>
      <c r="T57" s="224"/>
    </row>
    <row r="58" spans="2:20" ht="20.25" hidden="1">
      <c r="B58" s="6"/>
      <c r="C58" s="194">
        <v>68000</v>
      </c>
      <c r="G58" s="6"/>
      <c r="H58" s="6"/>
      <c r="I58" s="6"/>
      <c r="J58" s="6"/>
      <c r="K58" s="6"/>
      <c r="L58" s="6"/>
      <c r="M58" s="6"/>
      <c r="T58" s="224"/>
    </row>
    <row r="59" spans="2:20" ht="20.25" hidden="1">
      <c r="B59" s="6"/>
      <c r="C59" s="194">
        <v>72000</v>
      </c>
      <c r="G59" s="6"/>
      <c r="H59" s="6"/>
      <c r="I59" s="6"/>
      <c r="J59" s="6"/>
      <c r="K59" s="6"/>
      <c r="L59" s="6"/>
      <c r="M59" s="6"/>
      <c r="T59" s="224"/>
    </row>
    <row r="60" spans="2:20" ht="20.25" hidden="1">
      <c r="B60" s="6"/>
      <c r="C60" s="194">
        <v>76000</v>
      </c>
      <c r="G60" s="6"/>
      <c r="H60" s="6"/>
      <c r="I60" s="6"/>
      <c r="J60" s="6"/>
      <c r="K60" s="6"/>
      <c r="L60" s="6"/>
      <c r="M60" s="6"/>
      <c r="T60" s="224"/>
    </row>
    <row r="61" spans="2:20" ht="20.25" hidden="1">
      <c r="B61" s="6"/>
      <c r="C61" s="194">
        <v>80000</v>
      </c>
      <c r="G61" s="6"/>
      <c r="H61" s="6"/>
      <c r="I61" s="6"/>
      <c r="J61" s="6"/>
      <c r="K61" s="6"/>
      <c r="L61" s="6"/>
      <c r="M61" s="6"/>
      <c r="T61" s="224"/>
    </row>
    <row r="62" spans="2:20" ht="20.25" hidden="1">
      <c r="B62" s="6"/>
      <c r="C62" s="194">
        <v>84000</v>
      </c>
      <c r="G62" s="6"/>
      <c r="H62" s="6"/>
      <c r="I62" s="6"/>
      <c r="J62" s="6"/>
      <c r="K62" s="6"/>
      <c r="L62" s="6"/>
      <c r="M62" s="6"/>
      <c r="T62" s="224"/>
    </row>
    <row r="63" spans="2:20" ht="20.25" hidden="1">
      <c r="B63" s="6"/>
      <c r="C63" s="194">
        <v>88000</v>
      </c>
      <c r="G63" s="6"/>
      <c r="H63" s="6"/>
      <c r="I63" s="6"/>
      <c r="J63" s="6"/>
      <c r="K63" s="6"/>
      <c r="L63" s="6"/>
      <c r="M63" s="6"/>
      <c r="T63" s="224"/>
    </row>
    <row r="64" spans="2:20" ht="20.25" hidden="1">
      <c r="B64" s="6"/>
      <c r="C64" s="194">
        <v>92000</v>
      </c>
      <c r="I64" s="6"/>
      <c r="J64" s="6"/>
      <c r="K64" s="6"/>
      <c r="L64" s="6"/>
      <c r="M64" s="6"/>
      <c r="T64" s="224"/>
    </row>
    <row r="65" spans="2:20" ht="20.25" hidden="1">
      <c r="B65" s="6"/>
      <c r="C65" s="194">
        <v>96000</v>
      </c>
      <c r="I65" s="6"/>
      <c r="J65" s="6"/>
      <c r="K65" s="6"/>
      <c r="L65" s="6"/>
      <c r="M65" s="6"/>
      <c r="T65" s="224"/>
    </row>
    <row r="66" spans="2:20" ht="20.25" hidden="1">
      <c r="B66" s="6"/>
      <c r="C66" s="129"/>
      <c r="I66" s="6"/>
      <c r="J66" s="6"/>
      <c r="K66" s="6"/>
      <c r="L66" s="6"/>
      <c r="M66" s="6"/>
      <c r="T66" s="224"/>
    </row>
    <row r="67" spans="2:20" ht="20.25" hidden="1">
      <c r="B67" s="6"/>
      <c r="C67" s="129"/>
      <c r="I67" s="6"/>
      <c r="J67" s="6"/>
      <c r="K67" s="6"/>
      <c r="L67" s="6"/>
      <c r="M67" s="6"/>
      <c r="T67" s="224"/>
    </row>
    <row r="68" spans="2:20" ht="20.25" hidden="1">
      <c r="B68" s="6"/>
      <c r="C68" s="129"/>
      <c r="I68" s="6"/>
      <c r="J68" s="6"/>
      <c r="K68" s="6"/>
      <c r="L68" s="6"/>
      <c r="M68" s="6"/>
      <c r="T68" s="224"/>
    </row>
    <row r="69" spans="2:20" ht="20.25" hidden="1">
      <c r="B69" s="6"/>
      <c r="C69" s="129"/>
      <c r="I69" s="6"/>
      <c r="J69" s="6"/>
      <c r="K69" s="6"/>
      <c r="L69" s="6"/>
      <c r="M69" s="6"/>
      <c r="T69" s="224"/>
    </row>
    <row r="70" spans="2:20" ht="20.25" hidden="1">
      <c r="B70" s="6"/>
      <c r="C70" s="129"/>
      <c r="I70" s="6"/>
      <c r="J70" s="6"/>
      <c r="K70" s="6"/>
      <c r="L70" s="6"/>
      <c r="M70" s="6"/>
      <c r="T70" s="224"/>
    </row>
    <row r="71" spans="2:20" ht="20.25" hidden="1">
      <c r="B71" s="6"/>
      <c r="C71" s="129"/>
      <c r="I71" s="6"/>
      <c r="J71" s="6"/>
      <c r="K71" s="6"/>
      <c r="L71" s="6"/>
      <c r="M71" s="6"/>
      <c r="T71" s="224"/>
    </row>
    <row r="72" spans="2:20" ht="12.75" hidden="1">
      <c r="B72" s="6"/>
      <c r="C72" s="150" t="s">
        <v>155</v>
      </c>
      <c r="H72" s="154"/>
      <c r="I72" s="6"/>
      <c r="J72" s="6"/>
      <c r="K72" s="6"/>
      <c r="L72" s="6"/>
      <c r="M72" s="6"/>
      <c r="T72" s="224"/>
    </row>
    <row r="73" spans="2:20" ht="13.5" hidden="1" thickBot="1">
      <c r="B73" s="6"/>
      <c r="C73" s="151" t="s">
        <v>52</v>
      </c>
      <c r="I73" s="6"/>
      <c r="J73" s="6"/>
      <c r="K73" s="6"/>
      <c r="L73" s="6"/>
      <c r="M73" s="6"/>
      <c r="T73" s="224"/>
    </row>
    <row r="74" spans="2:20" ht="13.5" hidden="1" thickBot="1">
      <c r="B74" s="6"/>
      <c r="C74" s="151" t="s">
        <v>145</v>
      </c>
      <c r="I74" s="6"/>
      <c r="J74" s="6"/>
      <c r="K74" s="6"/>
      <c r="L74" s="6"/>
      <c r="M74" s="6"/>
      <c r="T74" s="224"/>
    </row>
    <row r="75" spans="2:20" ht="13.5" hidden="1" thickBot="1">
      <c r="B75" s="6"/>
      <c r="C75" s="151" t="s">
        <v>207</v>
      </c>
      <c r="I75" s="6"/>
      <c r="J75" s="6"/>
      <c r="K75" s="6"/>
      <c r="L75" s="6"/>
      <c r="M75" s="6"/>
      <c r="T75" s="224"/>
    </row>
    <row r="76" spans="2:20" ht="13.5" hidden="1" thickBot="1">
      <c r="B76" s="6"/>
      <c r="C76" s="151" t="s">
        <v>230</v>
      </c>
      <c r="I76" s="6"/>
      <c r="J76" s="6"/>
      <c r="K76" s="6"/>
      <c r="L76" s="6"/>
      <c r="M76" s="6"/>
      <c r="T76" s="224"/>
    </row>
    <row r="77" spans="2:20" ht="13.5" hidden="1" thickBot="1">
      <c r="B77" s="6"/>
      <c r="C77" s="151" t="s">
        <v>146</v>
      </c>
      <c r="I77" s="6"/>
      <c r="J77" s="6"/>
      <c r="K77" s="6"/>
      <c r="L77" s="6"/>
      <c r="M77" s="6"/>
      <c r="T77" s="224"/>
    </row>
    <row r="78" spans="2:20" ht="13.5" hidden="1" thickBot="1">
      <c r="B78" s="6"/>
      <c r="C78" s="151" t="s">
        <v>249</v>
      </c>
      <c r="I78" s="6"/>
      <c r="J78" s="6"/>
      <c r="K78" s="6"/>
      <c r="L78" s="6"/>
      <c r="M78" s="6"/>
      <c r="T78" s="224"/>
    </row>
    <row r="79" spans="2:20" ht="13.5" hidden="1" thickBot="1">
      <c r="B79" s="6"/>
      <c r="C79" s="151" t="s">
        <v>250</v>
      </c>
      <c r="I79" s="6"/>
      <c r="J79" s="6"/>
      <c r="K79" s="6"/>
      <c r="L79" s="6"/>
      <c r="M79" s="6"/>
      <c r="T79" s="224"/>
    </row>
    <row r="80" spans="2:20" ht="13.5" hidden="1" thickBot="1">
      <c r="B80" s="6"/>
      <c r="C80" s="151" t="s">
        <v>148</v>
      </c>
      <c r="I80" s="6"/>
      <c r="J80" s="6"/>
      <c r="K80" s="6"/>
      <c r="L80" s="6"/>
      <c r="M80" s="6"/>
      <c r="T80" s="224"/>
    </row>
    <row r="81" spans="2:20" ht="13.5" hidden="1" thickBot="1">
      <c r="B81" s="6"/>
      <c r="C81" s="151" t="s">
        <v>251</v>
      </c>
      <c r="I81" s="6"/>
      <c r="J81" s="6"/>
      <c r="K81" s="6"/>
      <c r="L81" s="6"/>
      <c r="M81" s="6"/>
      <c r="T81" s="224"/>
    </row>
    <row r="82" spans="2:20" ht="13.5" hidden="1" thickBot="1">
      <c r="B82" s="6"/>
      <c r="C82" s="151" t="s">
        <v>252</v>
      </c>
      <c r="I82" s="6"/>
      <c r="J82" s="6"/>
      <c r="K82" s="6"/>
      <c r="L82" s="6"/>
      <c r="M82" s="6"/>
      <c r="T82" s="224"/>
    </row>
    <row r="83" spans="2:20" ht="13.5" hidden="1" thickBot="1">
      <c r="B83" s="6"/>
      <c r="C83" s="151" t="s">
        <v>179</v>
      </c>
      <c r="I83" s="6"/>
      <c r="J83" s="6"/>
      <c r="K83" s="6"/>
      <c r="L83" s="6"/>
      <c r="M83" s="6"/>
      <c r="T83" s="224"/>
    </row>
    <row r="84" spans="2:20" ht="13.5" hidden="1" thickBot="1">
      <c r="B84" s="6"/>
      <c r="C84" s="151" t="s">
        <v>149</v>
      </c>
      <c r="I84" s="6"/>
      <c r="J84" s="6"/>
      <c r="K84" s="6"/>
      <c r="L84" s="6"/>
      <c r="M84" s="6"/>
      <c r="T84" s="224"/>
    </row>
    <row r="85" spans="2:20" ht="13.5" hidden="1" thickBot="1">
      <c r="B85" s="6"/>
      <c r="C85" s="151" t="s">
        <v>151</v>
      </c>
      <c r="G85" s="6"/>
      <c r="H85" s="6"/>
      <c r="I85" s="6"/>
      <c r="J85" s="6"/>
      <c r="K85" s="6"/>
      <c r="L85" s="6"/>
      <c r="M85" s="6"/>
      <c r="T85" s="224"/>
    </row>
    <row r="86" spans="2:20" ht="13.5" hidden="1" thickBot="1">
      <c r="B86" s="6"/>
      <c r="C86" s="151" t="s">
        <v>152</v>
      </c>
      <c r="G86" s="6"/>
      <c r="H86" s="6"/>
      <c r="I86" s="6"/>
      <c r="J86" s="6"/>
      <c r="K86" s="6"/>
      <c r="L86" s="6"/>
      <c r="M86" s="6"/>
      <c r="T86" s="224"/>
    </row>
    <row r="87" spans="2:20" ht="13.5" hidden="1" thickBot="1">
      <c r="B87" s="6"/>
      <c r="C87" s="151" t="s">
        <v>153</v>
      </c>
      <c r="G87" s="6"/>
      <c r="H87" s="6"/>
      <c r="I87" s="6"/>
      <c r="J87" s="6"/>
      <c r="K87" s="6"/>
      <c r="L87" s="6"/>
      <c r="M87" s="6"/>
      <c r="T87" s="224"/>
    </row>
    <row r="88" spans="2:20" ht="13.5" hidden="1" thickBot="1">
      <c r="B88" s="6"/>
      <c r="C88" s="151" t="s">
        <v>55</v>
      </c>
      <c r="G88" s="6"/>
      <c r="H88" s="6"/>
      <c r="I88" s="6"/>
      <c r="J88" s="6"/>
      <c r="K88" s="6"/>
      <c r="L88" s="6"/>
      <c r="M88" s="6"/>
      <c r="T88" s="224"/>
    </row>
    <row r="89" spans="2:20" ht="13.5" hidden="1" thickBot="1">
      <c r="B89" s="6"/>
      <c r="C89" s="151" t="s">
        <v>253</v>
      </c>
      <c r="G89" s="6"/>
      <c r="H89" s="6"/>
      <c r="I89" s="6"/>
      <c r="J89" s="6"/>
      <c r="K89" s="6"/>
      <c r="L89" s="6"/>
      <c r="M89" s="6"/>
      <c r="T89" s="224"/>
    </row>
    <row r="90" spans="2:20" ht="13.5" hidden="1" thickBot="1">
      <c r="B90" s="6"/>
      <c r="C90" s="151" t="s">
        <v>254</v>
      </c>
      <c r="G90" s="6"/>
      <c r="H90" s="6"/>
      <c r="I90" s="6"/>
      <c r="J90" s="6"/>
      <c r="K90" s="6"/>
      <c r="L90" s="6"/>
      <c r="M90" s="6"/>
      <c r="T90" s="224"/>
    </row>
    <row r="91" spans="2:20" ht="13.5" hidden="1" thickBot="1">
      <c r="B91" s="6"/>
      <c r="C91" s="151" t="s">
        <v>255</v>
      </c>
      <c r="G91" s="6"/>
      <c r="H91" s="6"/>
      <c r="I91" s="6"/>
      <c r="J91" s="6"/>
      <c r="K91" s="6"/>
      <c r="L91" s="6"/>
      <c r="M91" s="6"/>
      <c r="T91" s="224"/>
    </row>
    <row r="92" spans="2:20" ht="13.5" hidden="1" thickBot="1">
      <c r="B92" s="6"/>
      <c r="C92" s="151" t="s">
        <v>229</v>
      </c>
      <c r="G92" s="6"/>
      <c r="H92" s="6"/>
      <c r="I92" s="6"/>
      <c r="J92" s="6"/>
      <c r="K92" s="6"/>
      <c r="L92" s="6"/>
      <c r="M92" s="6"/>
      <c r="T92" s="224"/>
    </row>
    <row r="93" spans="2:20" ht="13.5" hidden="1" thickBot="1">
      <c r="B93" s="6"/>
      <c r="C93" s="151" t="s">
        <v>136</v>
      </c>
      <c r="G93" s="6"/>
      <c r="H93" s="6"/>
      <c r="I93" s="6"/>
      <c r="J93" s="6"/>
      <c r="K93" s="6"/>
      <c r="L93" s="6"/>
      <c r="M93" s="6"/>
      <c r="T93" s="224"/>
    </row>
    <row r="94" spans="2:20" ht="13.5" hidden="1" thickBot="1">
      <c r="B94" s="6"/>
      <c r="C94" s="151" t="s">
        <v>57</v>
      </c>
      <c r="G94" s="6"/>
      <c r="H94" s="6"/>
      <c r="I94" s="6"/>
      <c r="J94" s="6"/>
      <c r="K94" s="6"/>
      <c r="L94" s="6"/>
      <c r="M94" s="6"/>
      <c r="T94" s="224"/>
    </row>
    <row r="95" spans="2:20" ht="12.75" hidden="1">
      <c r="B95" s="6"/>
      <c r="G95" s="6"/>
      <c r="H95" s="6"/>
      <c r="I95" s="6"/>
      <c r="J95" s="6"/>
      <c r="K95" s="6"/>
      <c r="L95" s="6"/>
      <c r="M95" s="6"/>
      <c r="T95" s="224"/>
    </row>
    <row r="96" spans="2:20" ht="12.75" hidden="1">
      <c r="B96" s="6"/>
      <c r="G96" s="6"/>
      <c r="H96" s="6"/>
      <c r="I96" s="6"/>
      <c r="J96" s="6"/>
      <c r="K96" s="6"/>
      <c r="L96" s="6"/>
      <c r="M96" s="6"/>
      <c r="T96" s="224"/>
    </row>
    <row r="97" spans="2:20" ht="12.75" hidden="1">
      <c r="B97" s="6"/>
      <c r="G97" s="6"/>
      <c r="H97" s="6"/>
      <c r="I97" s="6"/>
      <c r="J97" s="6"/>
      <c r="K97" s="6"/>
      <c r="L97" s="6"/>
      <c r="M97" s="6"/>
      <c r="T97" s="224"/>
    </row>
    <row r="98" spans="2:20" ht="12.75" hidden="1">
      <c r="B98" s="6"/>
      <c r="G98" s="6"/>
      <c r="H98" s="6"/>
      <c r="I98" s="6"/>
      <c r="J98" s="6"/>
      <c r="K98" s="6"/>
      <c r="L98" s="6"/>
      <c r="M98" s="6"/>
      <c r="T98" s="224"/>
    </row>
    <row r="99" spans="2:20" ht="13.5" hidden="1" thickBot="1">
      <c r="B99" s="6"/>
      <c r="C99" s="151"/>
      <c r="G99" s="6"/>
      <c r="H99" s="6"/>
      <c r="I99" s="6"/>
      <c r="J99" s="6"/>
      <c r="K99" s="6"/>
      <c r="L99" s="6"/>
      <c r="M99" s="6"/>
      <c r="T99" s="224"/>
    </row>
    <row r="100" spans="2:20" ht="20.25" hidden="1">
      <c r="B100" s="6"/>
      <c r="C100" s="129"/>
      <c r="G100" s="6"/>
      <c r="H100" s="6"/>
      <c r="I100" s="6"/>
      <c r="J100" s="6"/>
      <c r="K100" s="6"/>
      <c r="L100" s="6"/>
      <c r="M100" s="6"/>
      <c r="T100" s="224"/>
    </row>
    <row r="101" spans="2:20" ht="20.25" hidden="1">
      <c r="B101" s="6"/>
      <c r="C101" s="129"/>
      <c r="G101" s="6"/>
      <c r="H101" s="6"/>
      <c r="I101" s="6"/>
      <c r="J101" s="6"/>
      <c r="K101" s="6"/>
      <c r="L101" s="6"/>
      <c r="M101" s="6"/>
      <c r="T101" s="224"/>
    </row>
    <row r="102" spans="2:20" ht="13.5" hidden="1" thickBot="1">
      <c r="B102" s="6"/>
      <c r="C102" s="151" t="s">
        <v>257</v>
      </c>
      <c r="G102" s="6"/>
      <c r="H102" s="6"/>
      <c r="I102" s="6"/>
      <c r="J102" s="6"/>
      <c r="K102" s="6"/>
      <c r="L102" s="6"/>
      <c r="M102" s="6"/>
      <c r="T102" s="224"/>
    </row>
    <row r="103" spans="2:20" ht="13.5" hidden="1" thickBot="1">
      <c r="B103" s="6"/>
      <c r="C103" s="151" t="s">
        <v>231</v>
      </c>
      <c r="G103" s="6"/>
      <c r="H103" s="6"/>
      <c r="I103" s="6"/>
      <c r="J103" s="6"/>
      <c r="K103" s="6"/>
      <c r="L103" s="6"/>
      <c r="M103" s="6"/>
      <c r="T103" s="224"/>
    </row>
    <row r="104" spans="2:20" ht="13.5" hidden="1" thickBot="1">
      <c r="B104" s="6"/>
      <c r="C104" s="151" t="s">
        <v>117</v>
      </c>
      <c r="G104" s="6"/>
      <c r="H104" s="6"/>
      <c r="I104" s="6"/>
      <c r="J104" s="6"/>
      <c r="K104" s="6"/>
      <c r="L104" s="6"/>
      <c r="M104" s="6"/>
      <c r="T104" s="224"/>
    </row>
    <row r="105" spans="2:20" ht="13.5" hidden="1" thickBot="1">
      <c r="B105" s="6"/>
      <c r="C105" s="151" t="s">
        <v>232</v>
      </c>
      <c r="G105" s="6"/>
      <c r="H105" s="6"/>
      <c r="I105" s="6"/>
      <c r="J105" s="6"/>
      <c r="K105" s="6"/>
      <c r="L105" s="6"/>
      <c r="M105" s="6"/>
      <c r="T105" s="224"/>
    </row>
    <row r="106" spans="2:20" ht="13.5" hidden="1" thickBot="1">
      <c r="B106" s="6"/>
      <c r="C106" s="151" t="s">
        <v>171</v>
      </c>
      <c r="G106" s="6"/>
      <c r="H106" s="6"/>
      <c r="I106" s="6"/>
      <c r="J106" s="6"/>
      <c r="K106" s="6"/>
      <c r="L106" s="6"/>
      <c r="M106" s="6"/>
      <c r="T106" s="224"/>
    </row>
    <row r="107" spans="2:20" ht="13.5" hidden="1" thickBot="1">
      <c r="B107" s="6"/>
      <c r="C107" s="151" t="s">
        <v>14</v>
      </c>
      <c r="G107" s="6"/>
      <c r="H107" s="6"/>
      <c r="I107" s="6"/>
      <c r="J107" s="6"/>
      <c r="K107" s="6"/>
      <c r="L107" s="6"/>
      <c r="M107" s="6"/>
      <c r="T107" s="224"/>
    </row>
    <row r="108" spans="2:20" ht="13.5" hidden="1" thickBot="1">
      <c r="B108" s="6"/>
      <c r="C108" s="151" t="s">
        <v>256</v>
      </c>
      <c r="G108" s="6"/>
      <c r="H108" s="6"/>
      <c r="I108" s="6"/>
      <c r="J108" s="6"/>
      <c r="K108" s="6"/>
      <c r="L108" s="6"/>
      <c r="M108" s="6"/>
      <c r="T108" s="224"/>
    </row>
    <row r="109" spans="2:20" ht="13.5" hidden="1" thickBot="1">
      <c r="B109" s="6"/>
      <c r="C109" s="151" t="s">
        <v>15</v>
      </c>
      <c r="G109" s="6"/>
      <c r="H109" s="6"/>
      <c r="I109" s="6"/>
      <c r="J109" s="6"/>
      <c r="K109" s="6"/>
      <c r="L109" s="6"/>
      <c r="M109" s="6"/>
      <c r="T109" s="224"/>
    </row>
    <row r="110" spans="2:20" ht="13.5" hidden="1" thickBot="1">
      <c r="B110" s="6"/>
      <c r="C110" s="151" t="s">
        <v>19</v>
      </c>
      <c r="G110" s="6"/>
      <c r="H110" s="6"/>
      <c r="I110" s="6"/>
      <c r="J110" s="6"/>
      <c r="K110" s="6"/>
      <c r="L110" s="6"/>
      <c r="M110" s="6"/>
      <c r="T110" s="224"/>
    </row>
    <row r="111" spans="2:20" ht="13.5" hidden="1" thickBot="1">
      <c r="B111" s="6"/>
      <c r="C111" s="151" t="s">
        <v>233</v>
      </c>
      <c r="G111" s="6"/>
      <c r="H111" s="6"/>
      <c r="I111" s="6"/>
      <c r="J111" s="6"/>
      <c r="K111" s="6"/>
      <c r="L111" s="6"/>
      <c r="M111" s="6"/>
      <c r="T111" s="224"/>
    </row>
    <row r="112" spans="2:20" ht="13.5" hidden="1" thickBot="1">
      <c r="B112" s="6"/>
      <c r="C112" s="151" t="s">
        <v>142</v>
      </c>
      <c r="G112" s="6"/>
      <c r="H112" s="6"/>
      <c r="I112" s="6"/>
      <c r="J112" s="6"/>
      <c r="K112" s="6"/>
      <c r="L112" s="6"/>
      <c r="M112" s="6"/>
      <c r="T112" s="224"/>
    </row>
    <row r="113" spans="2:20" ht="13.5" hidden="1" thickBot="1">
      <c r="B113" s="6"/>
      <c r="C113" s="151" t="s">
        <v>180</v>
      </c>
      <c r="G113" s="6"/>
      <c r="H113" s="6"/>
      <c r="I113" s="6"/>
      <c r="J113" s="6"/>
      <c r="K113" s="6"/>
      <c r="L113" s="6"/>
      <c r="M113" s="6"/>
      <c r="T113" s="224"/>
    </row>
    <row r="114" spans="2:20" ht="13.5" hidden="1" thickBot="1">
      <c r="B114" s="6"/>
      <c r="C114" s="151" t="s">
        <v>16</v>
      </c>
      <c r="G114" s="6"/>
      <c r="H114" s="6"/>
      <c r="I114" s="6"/>
      <c r="J114" s="6"/>
      <c r="K114" s="6"/>
      <c r="L114" s="6"/>
      <c r="M114" s="6"/>
      <c r="T114" s="224"/>
    </row>
    <row r="115" spans="2:20" ht="13.5" hidden="1" thickBot="1">
      <c r="B115" s="6"/>
      <c r="C115" s="151" t="s">
        <v>137</v>
      </c>
      <c r="G115" s="6"/>
      <c r="H115" s="6"/>
      <c r="I115" s="6"/>
      <c r="J115" s="6"/>
      <c r="K115" s="6"/>
      <c r="L115" s="6"/>
      <c r="M115" s="6"/>
      <c r="T115" s="224"/>
    </row>
    <row r="116" spans="2:20" ht="20.25" hidden="1">
      <c r="B116" s="6"/>
      <c r="C116" s="129"/>
      <c r="G116" s="6"/>
      <c r="H116" s="6"/>
      <c r="I116" s="6"/>
      <c r="J116" s="6"/>
      <c r="K116" s="6"/>
      <c r="L116" s="6"/>
      <c r="M116" s="6"/>
      <c r="T116" s="224"/>
    </row>
    <row r="117" spans="2:20" ht="20.25" hidden="1">
      <c r="B117" s="6"/>
      <c r="C117" s="129"/>
      <c r="G117" s="6"/>
      <c r="H117" s="6"/>
      <c r="I117" s="6"/>
      <c r="J117" s="6"/>
      <c r="K117" s="6"/>
      <c r="L117" s="6"/>
      <c r="M117" s="6"/>
      <c r="T117" s="224"/>
    </row>
    <row r="118" spans="2:20" ht="13.5" hidden="1" thickBot="1">
      <c r="B118" s="6"/>
      <c r="C118" s="151" t="s">
        <v>119</v>
      </c>
      <c r="G118" s="6"/>
      <c r="H118" s="6"/>
      <c r="I118" s="6"/>
      <c r="J118" s="6"/>
      <c r="K118" s="6"/>
      <c r="L118" s="6"/>
      <c r="M118" s="6"/>
      <c r="T118" s="224"/>
    </row>
    <row r="119" spans="2:20" ht="13.5" hidden="1" thickBot="1">
      <c r="B119" s="6"/>
      <c r="C119" s="151" t="s">
        <v>172</v>
      </c>
      <c r="G119" s="6"/>
      <c r="H119" s="6"/>
      <c r="I119" s="6"/>
      <c r="J119" s="6"/>
      <c r="K119" s="6"/>
      <c r="L119" s="6"/>
      <c r="M119" s="6"/>
      <c r="T119" s="224"/>
    </row>
    <row r="120" spans="2:20" ht="15" hidden="1" thickBot="1">
      <c r="B120" s="6"/>
      <c r="C120" s="188"/>
      <c r="G120" s="6"/>
      <c r="H120" s="6"/>
      <c r="I120" s="6"/>
      <c r="J120" s="6"/>
      <c r="K120" s="6"/>
      <c r="L120" s="6"/>
      <c r="M120" s="6"/>
      <c r="T120" s="224"/>
    </row>
    <row r="121" spans="2:20" ht="15" hidden="1" thickBot="1">
      <c r="B121" s="6"/>
      <c r="C121" s="188" t="s">
        <v>185</v>
      </c>
      <c r="G121" s="6"/>
      <c r="H121" s="6"/>
      <c r="I121" s="6"/>
      <c r="J121" s="6"/>
      <c r="K121" s="6"/>
      <c r="L121" s="6"/>
      <c r="M121" s="6"/>
      <c r="T121" s="224"/>
    </row>
    <row r="122" spans="2:20" ht="15" hidden="1" thickBot="1">
      <c r="B122" s="6"/>
      <c r="C122" s="188" t="s">
        <v>187</v>
      </c>
      <c r="G122" s="6"/>
      <c r="H122" s="6"/>
      <c r="I122" s="6"/>
      <c r="J122" s="6"/>
      <c r="K122" s="6"/>
      <c r="L122" s="6"/>
      <c r="M122" s="6"/>
      <c r="T122" s="224"/>
    </row>
    <row r="123" spans="2:20" ht="15" hidden="1" thickBot="1">
      <c r="B123" s="6"/>
      <c r="C123" s="188" t="s">
        <v>186</v>
      </c>
      <c r="G123" s="6"/>
      <c r="H123" s="6"/>
      <c r="I123" s="6"/>
      <c r="J123" s="6"/>
      <c r="K123" s="6"/>
      <c r="L123" s="6"/>
      <c r="M123" s="6"/>
      <c r="T123" s="224"/>
    </row>
    <row r="124" spans="2:20" ht="20.25" hidden="1">
      <c r="B124" s="6"/>
      <c r="C124" s="129"/>
      <c r="G124" s="6"/>
      <c r="H124" s="6"/>
      <c r="I124" s="6"/>
      <c r="J124" s="6"/>
      <c r="K124" s="6"/>
      <c r="L124" s="6"/>
      <c r="M124" s="6"/>
      <c r="T124" s="224"/>
    </row>
    <row r="125" spans="2:20" ht="12.75" hidden="1">
      <c r="B125" s="6"/>
      <c r="G125" s="6"/>
      <c r="H125" s="6"/>
      <c r="I125" s="6"/>
      <c r="J125" s="6"/>
      <c r="K125" s="6"/>
      <c r="L125" s="6"/>
      <c r="M125" s="6"/>
      <c r="T125" s="224"/>
    </row>
    <row r="126" spans="2:20" ht="12.75" hidden="1">
      <c r="B126" s="6"/>
      <c r="G126" s="6"/>
      <c r="H126" s="6"/>
      <c r="I126" s="6"/>
      <c r="J126" s="6"/>
      <c r="K126" s="6"/>
      <c r="L126" s="6"/>
      <c r="M126" s="6"/>
      <c r="T126" s="224"/>
    </row>
    <row r="127" spans="2:20" ht="12.75" hidden="1">
      <c r="B127" s="6"/>
      <c r="G127" s="6"/>
      <c r="H127" s="6"/>
      <c r="I127" s="6"/>
      <c r="J127" s="6"/>
      <c r="K127" s="6"/>
      <c r="L127" s="6"/>
      <c r="M127" s="6"/>
      <c r="T127" s="224"/>
    </row>
    <row r="128" spans="2:20" ht="12.75" hidden="1">
      <c r="B128" s="6"/>
      <c r="G128" s="6"/>
      <c r="H128" s="6"/>
      <c r="I128" s="6"/>
      <c r="J128" s="6"/>
      <c r="K128" s="6"/>
      <c r="L128" s="6"/>
      <c r="M128" s="6"/>
      <c r="T128" s="224"/>
    </row>
    <row r="129" spans="2:20" ht="13.5" hidden="1" thickBot="1">
      <c r="B129" s="6"/>
      <c r="G129" s="6"/>
      <c r="H129" s="6"/>
      <c r="I129" s="6"/>
      <c r="J129" s="6"/>
      <c r="K129" s="6"/>
      <c r="L129" s="6"/>
      <c r="M129" s="6"/>
      <c r="T129" s="224"/>
    </row>
    <row r="130" spans="2:20" ht="19.5" hidden="1" thickBot="1">
      <c r="B130" s="6"/>
      <c r="C130" s="135" t="s">
        <v>60</v>
      </c>
      <c r="G130" s="6"/>
      <c r="H130" s="6"/>
      <c r="I130" s="6"/>
      <c r="J130" s="6"/>
      <c r="K130" s="6"/>
      <c r="L130" s="6"/>
      <c r="M130" s="6"/>
      <c r="T130" s="224"/>
    </row>
    <row r="131" spans="2:20" ht="12.75" hidden="1">
      <c r="B131" s="6"/>
      <c r="C131" s="144" t="s">
        <v>58</v>
      </c>
      <c r="G131" s="6"/>
      <c r="H131" s="6"/>
      <c r="I131" s="6"/>
      <c r="J131" s="6"/>
      <c r="K131" s="6"/>
      <c r="L131" s="6"/>
      <c r="M131" s="6"/>
      <c r="T131" s="224"/>
    </row>
    <row r="132" spans="2:20" ht="26.25" hidden="1" thickBot="1">
      <c r="B132" s="6"/>
      <c r="C132" s="143" t="s">
        <v>143</v>
      </c>
      <c r="G132" s="6"/>
      <c r="H132" s="6"/>
      <c r="I132" s="6"/>
      <c r="J132" s="6"/>
      <c r="K132" s="6"/>
      <c r="L132" s="6"/>
      <c r="M132" s="6"/>
      <c r="T132" s="224"/>
    </row>
    <row r="133" spans="2:20" ht="26.25" hidden="1" thickBot="1">
      <c r="B133" s="6"/>
      <c r="C133" s="143" t="s">
        <v>144</v>
      </c>
      <c r="G133" s="6"/>
      <c r="H133" s="6"/>
      <c r="I133" s="6"/>
      <c r="J133" s="6"/>
      <c r="K133" s="6"/>
      <c r="L133" s="6"/>
      <c r="M133" s="6"/>
      <c r="T133" s="224"/>
    </row>
    <row r="134" spans="2:20" ht="13.5" hidden="1" thickBot="1">
      <c r="B134" s="6"/>
      <c r="C134" s="143" t="s">
        <v>145</v>
      </c>
      <c r="G134" s="6"/>
      <c r="H134" s="6"/>
      <c r="I134" s="6"/>
      <c r="J134" s="6"/>
      <c r="K134" s="6"/>
      <c r="L134" s="6"/>
      <c r="M134" s="6"/>
      <c r="T134" s="224"/>
    </row>
    <row r="135" spans="2:20" ht="13.5" hidden="1" thickBot="1">
      <c r="B135" s="6"/>
      <c r="C135" s="143" t="s">
        <v>115</v>
      </c>
      <c r="G135" s="6"/>
      <c r="H135" s="6"/>
      <c r="I135" s="6"/>
      <c r="J135" s="6"/>
      <c r="K135" s="6"/>
      <c r="L135" s="6"/>
      <c r="M135" s="6"/>
      <c r="T135" s="224"/>
    </row>
    <row r="136" spans="2:20" ht="13.5" hidden="1" thickBot="1">
      <c r="B136" s="6"/>
      <c r="C136" s="143" t="s">
        <v>59</v>
      </c>
      <c r="G136" s="6"/>
      <c r="H136" s="6"/>
      <c r="I136" s="6"/>
      <c r="J136" s="6"/>
      <c r="K136" s="6"/>
      <c r="L136" s="6"/>
      <c r="M136" s="6"/>
      <c r="T136" s="224"/>
    </row>
    <row r="137" spans="2:20" ht="13.5" hidden="1" thickBot="1">
      <c r="B137" s="6"/>
      <c r="C137" s="143" t="s">
        <v>53</v>
      </c>
      <c r="G137" s="6"/>
      <c r="H137" s="6"/>
      <c r="I137" s="6"/>
      <c r="J137" s="6"/>
      <c r="K137" s="6"/>
      <c r="L137" s="6"/>
      <c r="M137" s="6"/>
      <c r="T137" s="224"/>
    </row>
    <row r="138" spans="2:20" ht="13.5" hidden="1" thickBot="1">
      <c r="B138" s="6"/>
      <c r="C138" s="143" t="s">
        <v>146</v>
      </c>
      <c r="G138" s="6"/>
      <c r="H138" s="6"/>
      <c r="I138" s="6"/>
      <c r="J138" s="6"/>
      <c r="K138" s="6"/>
      <c r="L138" s="6"/>
      <c r="M138" s="6"/>
      <c r="T138" s="224"/>
    </row>
    <row r="139" spans="2:20" ht="13.5" hidden="1" thickBot="1">
      <c r="B139" s="6"/>
      <c r="C139" s="143" t="s">
        <v>147</v>
      </c>
      <c r="G139" s="6"/>
      <c r="H139" s="6"/>
      <c r="I139" s="6"/>
      <c r="J139" s="6"/>
      <c r="K139" s="6"/>
      <c r="L139" s="6"/>
      <c r="M139" s="6"/>
      <c r="T139" s="224"/>
    </row>
    <row r="140" spans="2:20" ht="26.25" hidden="1" thickBot="1">
      <c r="B140" s="6"/>
      <c r="C140" s="143" t="s">
        <v>148</v>
      </c>
      <c r="G140" s="6"/>
      <c r="H140" s="6"/>
      <c r="I140" s="6"/>
      <c r="J140" s="6"/>
      <c r="K140" s="6"/>
      <c r="L140" s="6"/>
      <c r="M140" s="6"/>
      <c r="T140" s="224"/>
    </row>
    <row r="141" spans="2:20" ht="13.5" hidden="1" thickBot="1">
      <c r="B141" s="6"/>
      <c r="C141" s="143" t="s">
        <v>149</v>
      </c>
      <c r="G141" s="6"/>
      <c r="H141" s="6"/>
      <c r="I141" s="6"/>
      <c r="J141" s="6"/>
      <c r="K141" s="6"/>
      <c r="L141" s="6"/>
      <c r="M141" s="6"/>
      <c r="T141" s="224"/>
    </row>
    <row r="142" spans="2:20" ht="13.5" hidden="1" thickBot="1">
      <c r="B142" s="6"/>
      <c r="C142" s="143" t="s">
        <v>150</v>
      </c>
      <c r="G142" s="6"/>
      <c r="H142" s="6"/>
      <c r="I142" s="6"/>
      <c r="J142" s="6"/>
      <c r="K142" s="6"/>
      <c r="L142" s="6"/>
      <c r="M142" s="6"/>
      <c r="T142" s="224"/>
    </row>
    <row r="143" spans="2:20" ht="13.5" hidden="1" thickBot="1">
      <c r="B143" s="6"/>
      <c r="C143" s="143" t="s">
        <v>116</v>
      </c>
      <c r="G143" s="6"/>
      <c r="H143" s="6"/>
      <c r="I143" s="6"/>
      <c r="J143" s="6"/>
      <c r="K143" s="6"/>
      <c r="L143" s="6"/>
      <c r="M143" s="6"/>
      <c r="T143" s="224"/>
    </row>
    <row r="144" spans="2:20" ht="13.5" hidden="1" thickBot="1">
      <c r="B144" s="6"/>
      <c r="C144" s="143" t="s">
        <v>151</v>
      </c>
      <c r="G144" s="6"/>
      <c r="H144" s="6"/>
      <c r="I144" s="6"/>
      <c r="J144" s="6"/>
      <c r="K144" s="6"/>
      <c r="L144" s="6"/>
      <c r="M144" s="6"/>
      <c r="T144" s="224"/>
    </row>
    <row r="145" spans="2:20" ht="13.5" hidden="1" thickBot="1">
      <c r="B145" s="6"/>
      <c r="C145" s="143" t="s">
        <v>152</v>
      </c>
      <c r="G145" s="6"/>
      <c r="H145" s="6"/>
      <c r="I145" s="6"/>
      <c r="J145" s="6"/>
      <c r="K145" s="6"/>
      <c r="L145" s="6"/>
      <c r="M145" s="6"/>
      <c r="T145" s="224"/>
    </row>
    <row r="146" spans="2:20" ht="13.5" hidden="1" thickBot="1">
      <c r="B146" s="6"/>
      <c r="C146" s="143" t="s">
        <v>153</v>
      </c>
      <c r="G146" s="6"/>
      <c r="H146" s="6"/>
      <c r="I146" s="6"/>
      <c r="J146" s="6"/>
      <c r="K146" s="6"/>
      <c r="L146" s="6"/>
      <c r="M146" s="6"/>
      <c r="T146" s="224"/>
    </row>
    <row r="147" spans="2:20" ht="13.5" hidden="1" thickBot="1">
      <c r="B147" s="6"/>
      <c r="C147" s="143" t="s">
        <v>154</v>
      </c>
      <c r="G147" s="6"/>
      <c r="H147" s="6"/>
      <c r="I147" s="6"/>
      <c r="J147" s="6"/>
      <c r="K147" s="6"/>
      <c r="L147" s="6"/>
      <c r="M147" s="6"/>
      <c r="T147" s="224"/>
    </row>
    <row r="148" spans="2:20" ht="13.5" hidden="1" thickBot="1">
      <c r="B148" s="6"/>
      <c r="C148" s="143" t="s">
        <v>54</v>
      </c>
      <c r="G148" s="6"/>
      <c r="H148" s="6"/>
      <c r="I148" s="6"/>
      <c r="J148" s="6"/>
      <c r="K148" s="6"/>
      <c r="L148" s="6"/>
      <c r="M148" s="6"/>
      <c r="T148" s="224"/>
    </row>
    <row r="149" spans="2:20" ht="13.5" hidden="1" thickBot="1">
      <c r="B149" s="6"/>
      <c r="C149" s="143" t="s">
        <v>55</v>
      </c>
      <c r="G149" s="6"/>
      <c r="H149" s="6"/>
      <c r="I149" s="6"/>
      <c r="J149" s="6"/>
      <c r="K149" s="6"/>
      <c r="L149" s="6"/>
      <c r="M149" s="6"/>
      <c r="T149" s="224"/>
    </row>
    <row r="150" spans="2:20" ht="13.5" hidden="1" thickBot="1">
      <c r="B150" s="6"/>
      <c r="C150" s="143" t="s">
        <v>56</v>
      </c>
      <c r="G150" s="6"/>
      <c r="H150" s="6"/>
      <c r="I150" s="6"/>
      <c r="J150" s="6"/>
      <c r="K150" s="6"/>
      <c r="L150" s="6"/>
      <c r="M150" s="6"/>
      <c r="T150" s="224"/>
    </row>
    <row r="151" spans="2:20" ht="18.75" hidden="1">
      <c r="B151" s="6"/>
      <c r="C151" s="137" t="s">
        <v>61</v>
      </c>
      <c r="G151" s="6"/>
      <c r="H151" s="6"/>
      <c r="I151" s="6"/>
      <c r="J151" s="6"/>
      <c r="K151" s="6"/>
      <c r="L151" s="6"/>
      <c r="M151" s="6"/>
      <c r="T151" s="224"/>
    </row>
    <row r="152" spans="2:20" ht="18.75" hidden="1">
      <c r="B152" s="6"/>
      <c r="C152" s="138" t="s">
        <v>106</v>
      </c>
      <c r="G152" s="6"/>
      <c r="H152" s="6"/>
      <c r="I152" s="6"/>
      <c r="J152" s="6"/>
      <c r="K152" s="6"/>
      <c r="L152" s="6"/>
      <c r="M152" s="6"/>
      <c r="T152" s="224"/>
    </row>
    <row r="153" spans="2:20" ht="13.5" hidden="1" thickBot="1">
      <c r="B153" s="6"/>
      <c r="C153" s="143" t="s">
        <v>16</v>
      </c>
      <c r="G153" s="6"/>
      <c r="H153" s="6"/>
      <c r="I153" s="6"/>
      <c r="J153" s="6"/>
      <c r="K153" s="6"/>
      <c r="L153" s="6"/>
      <c r="M153" s="6"/>
      <c r="T153" s="224"/>
    </row>
    <row r="154" spans="2:20" ht="26.25" hidden="1" thickBot="1">
      <c r="B154" s="6"/>
      <c r="C154" s="143" t="s">
        <v>117</v>
      </c>
      <c r="G154" s="6"/>
      <c r="H154" s="6"/>
      <c r="I154" s="6"/>
      <c r="J154" s="6"/>
      <c r="K154" s="6"/>
      <c r="L154" s="6"/>
      <c r="M154" s="6"/>
      <c r="T154" s="224"/>
    </row>
    <row r="155" spans="2:20" ht="13.5" hidden="1" thickBot="1">
      <c r="B155" s="6"/>
      <c r="C155" s="143" t="s">
        <v>19</v>
      </c>
      <c r="G155" s="6"/>
      <c r="H155" s="6"/>
      <c r="I155" s="6"/>
      <c r="J155" s="6"/>
      <c r="K155" s="6"/>
      <c r="L155" s="6"/>
      <c r="M155" s="6"/>
      <c r="T155" s="224"/>
    </row>
    <row r="156" spans="2:20" ht="13.5" hidden="1" thickBot="1">
      <c r="B156" s="6"/>
      <c r="C156" s="143" t="s">
        <v>14</v>
      </c>
      <c r="G156" s="6"/>
      <c r="H156" s="6"/>
      <c r="I156" s="6"/>
      <c r="J156" s="6"/>
      <c r="K156" s="6"/>
      <c r="L156" s="6"/>
      <c r="M156" s="6"/>
      <c r="T156" s="224"/>
    </row>
    <row r="157" spans="2:20" ht="26.25" hidden="1" thickBot="1">
      <c r="B157" s="6"/>
      <c r="C157" s="143" t="s">
        <v>118</v>
      </c>
      <c r="G157" s="6"/>
      <c r="H157" s="6"/>
      <c r="I157" s="6"/>
      <c r="J157" s="6"/>
      <c r="K157" s="6"/>
      <c r="L157" s="6"/>
      <c r="M157" s="6"/>
      <c r="T157" s="224"/>
    </row>
    <row r="158" spans="2:20" ht="19.5" hidden="1" thickBot="1">
      <c r="B158" s="6"/>
      <c r="C158" s="136"/>
      <c r="G158" s="6"/>
      <c r="H158" s="6"/>
      <c r="I158" s="6"/>
      <c r="J158" s="6"/>
      <c r="K158" s="6"/>
      <c r="L158" s="6"/>
      <c r="M158" s="6"/>
      <c r="T158" s="224"/>
    </row>
    <row r="159" spans="2:20" ht="19.5" hidden="1" thickBot="1">
      <c r="B159" s="6"/>
      <c r="C159" s="136"/>
      <c r="G159" s="6"/>
      <c r="H159" s="6"/>
      <c r="I159" s="6"/>
      <c r="J159" s="6"/>
      <c r="K159" s="6"/>
      <c r="L159" s="6"/>
      <c r="M159" s="6"/>
      <c r="T159" s="224"/>
    </row>
    <row r="160" spans="2:20" ht="18.75" hidden="1">
      <c r="B160" s="6"/>
      <c r="C160" s="165"/>
      <c r="G160" s="6"/>
      <c r="H160" s="6"/>
      <c r="I160" s="6"/>
      <c r="J160" s="6"/>
      <c r="K160" s="6"/>
      <c r="L160" s="6"/>
      <c r="M160" s="6"/>
      <c r="T160" s="224"/>
    </row>
    <row r="161" spans="2:20" ht="18.75" hidden="1">
      <c r="B161" s="6"/>
      <c r="C161" s="137" t="s">
        <v>62</v>
      </c>
      <c r="G161" s="6"/>
      <c r="H161" s="6"/>
      <c r="I161" s="6"/>
      <c r="J161" s="6"/>
      <c r="K161" s="6"/>
      <c r="L161" s="6"/>
      <c r="M161" s="6"/>
      <c r="T161" s="224"/>
    </row>
    <row r="162" spans="2:20" ht="19.5" hidden="1" thickBot="1">
      <c r="B162" s="6"/>
      <c r="C162" s="139" t="s">
        <v>106</v>
      </c>
      <c r="G162" s="6"/>
      <c r="H162" s="6"/>
      <c r="I162" s="6"/>
      <c r="J162" s="6"/>
      <c r="K162" s="6"/>
      <c r="L162" s="6"/>
      <c r="M162" s="6"/>
      <c r="T162" s="224"/>
    </row>
    <row r="163" spans="2:20" ht="13.5" hidden="1" thickBot="1">
      <c r="B163" s="6"/>
      <c r="C163" s="145" t="s">
        <v>119</v>
      </c>
      <c r="G163" s="6"/>
      <c r="H163" s="6"/>
      <c r="I163" s="6"/>
      <c r="J163" s="6"/>
      <c r="K163" s="6"/>
      <c r="L163" s="6"/>
      <c r="M163" s="6"/>
      <c r="T163" s="224"/>
    </row>
    <row r="164" spans="2:20" ht="12.75" hidden="1">
      <c r="B164" s="6"/>
      <c r="C164" s="166" t="s">
        <v>172</v>
      </c>
      <c r="G164" s="6"/>
      <c r="H164" s="6"/>
      <c r="I164" s="6"/>
      <c r="J164" s="6"/>
      <c r="K164" s="6"/>
      <c r="L164" s="6"/>
      <c r="M164" s="6"/>
      <c r="T164" s="224"/>
    </row>
    <row r="165" spans="2:20" ht="12.75" hidden="1">
      <c r="B165" s="6"/>
      <c r="C165" s="6" t="s">
        <v>168</v>
      </c>
      <c r="G165" s="6"/>
      <c r="H165" s="6"/>
      <c r="I165" s="6"/>
      <c r="J165" s="6"/>
      <c r="K165" s="6"/>
      <c r="L165" s="6"/>
      <c r="M165" s="6"/>
      <c r="T165" s="224"/>
    </row>
    <row r="166" spans="3:20" ht="20.25" hidden="1">
      <c r="C166" s="44">
        <v>5</v>
      </c>
      <c r="T166" s="224"/>
    </row>
    <row r="167" spans="3:20" ht="20.25" hidden="1">
      <c r="C167" s="44">
        <v>6</v>
      </c>
      <c r="T167" s="224"/>
    </row>
    <row r="168" spans="3:20" ht="20.25" hidden="1">
      <c r="C168" s="44">
        <v>7</v>
      </c>
      <c r="T168" s="224"/>
    </row>
    <row r="169" spans="3:20" ht="20.25" hidden="1">
      <c r="C169" s="44">
        <v>8</v>
      </c>
      <c r="T169" s="224"/>
    </row>
    <row r="170" spans="3:20" ht="20.25" hidden="1">
      <c r="C170" s="44">
        <v>9</v>
      </c>
      <c r="T170" s="224"/>
    </row>
    <row r="171" spans="3:20" ht="20.25" hidden="1">
      <c r="C171" s="44">
        <v>10</v>
      </c>
      <c r="T171" s="224"/>
    </row>
    <row r="172" spans="2:20" ht="36.75" customHeight="1">
      <c r="B172" s="402" t="s">
        <v>183</v>
      </c>
      <c r="C172" s="402"/>
      <c r="D172" s="402"/>
      <c r="E172" s="402"/>
      <c r="F172" s="402"/>
      <c r="G172" s="402"/>
      <c r="H172" s="402"/>
      <c r="I172" s="402"/>
      <c r="J172" s="402"/>
      <c r="K172" s="402"/>
      <c r="L172" s="50"/>
      <c r="M172" s="50"/>
      <c r="T172" s="224"/>
    </row>
    <row r="173" spans="2:20" ht="20.25">
      <c r="B173" s="160"/>
      <c r="C173" s="160"/>
      <c r="D173" s="374" t="s">
        <v>213</v>
      </c>
      <c r="E173" s="374"/>
      <c r="F173" s="374"/>
      <c r="G173" s="374"/>
      <c r="H173" s="374"/>
      <c r="I173" s="374"/>
      <c r="J173" s="160"/>
      <c r="K173" s="160"/>
      <c r="L173" s="50"/>
      <c r="M173" s="50"/>
      <c r="T173" s="224"/>
    </row>
    <row r="174" spans="2:20" ht="21" thickBot="1">
      <c r="B174" s="160"/>
      <c r="C174" s="160"/>
      <c r="D174" s="161"/>
      <c r="E174" s="161"/>
      <c r="F174" s="161"/>
      <c r="G174" s="161"/>
      <c r="H174" s="161"/>
      <c r="I174" s="161"/>
      <c r="J174" s="160"/>
      <c r="K174" s="160"/>
      <c r="L174" s="50"/>
      <c r="M174" s="50"/>
      <c r="T174" s="224"/>
    </row>
    <row r="175" spans="2:20" ht="20.25" customHeight="1">
      <c r="B175" s="453" t="s">
        <v>68</v>
      </c>
      <c r="C175" s="344"/>
      <c r="D175" s="413">
        <f>D2</f>
        <v>0</v>
      </c>
      <c r="E175" s="414"/>
      <c r="F175" s="414"/>
      <c r="G175" s="414"/>
      <c r="H175" s="415"/>
      <c r="I175" s="343" t="s">
        <v>72</v>
      </c>
      <c r="J175" s="344"/>
      <c r="K175" s="345"/>
      <c r="T175" s="224"/>
    </row>
    <row r="176" spans="2:20" ht="19.5" customHeight="1" thickBot="1">
      <c r="B176" s="454"/>
      <c r="C176" s="455"/>
      <c r="D176" s="416"/>
      <c r="E176" s="416"/>
      <c r="F176" s="416"/>
      <c r="G176" s="416"/>
      <c r="H176" s="417"/>
      <c r="I176" s="409">
        <f>I3</f>
        <v>0</v>
      </c>
      <c r="J176" s="410"/>
      <c r="K176" s="411"/>
      <c r="L176" s="132"/>
      <c r="M176" s="132"/>
      <c r="T176" s="224"/>
    </row>
    <row r="177" spans="2:20" ht="27.75" customHeight="1" thickBot="1">
      <c r="B177" s="406" t="s">
        <v>69</v>
      </c>
      <c r="C177" s="407"/>
      <c r="D177" s="459" t="str">
        <f>D4</f>
        <v>év   hó    nap</v>
      </c>
      <c r="E177" s="460"/>
      <c r="F177" s="375" t="s">
        <v>70</v>
      </c>
      <c r="G177" s="376"/>
      <c r="H177" s="376"/>
      <c r="I177" s="451">
        <f>I4</f>
        <v>0</v>
      </c>
      <c r="J177" s="451"/>
      <c r="K177" s="452"/>
      <c r="L177" s="132"/>
      <c r="M177" s="132"/>
      <c r="T177" s="224"/>
    </row>
    <row r="178" spans="2:20" ht="30.75" customHeight="1">
      <c r="B178" s="333" t="s">
        <v>113</v>
      </c>
      <c r="C178" s="334"/>
      <c r="D178" s="335"/>
      <c r="E178" s="335"/>
      <c r="F178" s="335"/>
      <c r="G178" s="335"/>
      <c r="H178" s="336"/>
      <c r="I178" s="162" t="s">
        <v>71</v>
      </c>
      <c r="J178" s="49"/>
      <c r="K178" s="48"/>
      <c r="L178" s="7"/>
      <c r="M178" s="7"/>
      <c r="T178" s="224"/>
    </row>
    <row r="179" spans="2:20" ht="29.25" customHeight="1" thickBot="1">
      <c r="B179" s="330" t="str">
        <f>+B6</f>
        <v>MÁV ZRT.</v>
      </c>
      <c r="C179" s="331"/>
      <c r="D179" s="331"/>
      <c r="E179" s="331"/>
      <c r="F179" s="331"/>
      <c r="G179" s="331"/>
      <c r="H179" s="332"/>
      <c r="I179" s="456">
        <f>I6</f>
        <v>0</v>
      </c>
      <c r="J179" s="457"/>
      <c r="K179" s="458"/>
      <c r="L179" s="7"/>
      <c r="M179" s="7"/>
      <c r="T179" s="224"/>
    </row>
    <row r="180" spans="2:20" ht="53.25" customHeight="1">
      <c r="B180" s="341" t="s">
        <v>208</v>
      </c>
      <c r="C180" s="342"/>
      <c r="D180" s="342"/>
      <c r="E180" s="342"/>
      <c r="F180" s="342"/>
      <c r="G180" s="342"/>
      <c r="H180" s="342"/>
      <c r="I180" s="342"/>
      <c r="J180" s="342"/>
      <c r="K180" s="342"/>
      <c r="L180" s="47"/>
      <c r="M180" s="47"/>
      <c r="T180" s="224"/>
    </row>
    <row r="181" spans="2:20" ht="31.5">
      <c r="B181" s="408" t="s">
        <v>63</v>
      </c>
      <c r="C181" s="382"/>
      <c r="D181" s="31"/>
      <c r="E181" s="31"/>
      <c r="F181" s="29" t="s">
        <v>46</v>
      </c>
      <c r="G181" s="32"/>
      <c r="H181" s="28" t="s">
        <v>120</v>
      </c>
      <c r="I181" s="29" t="s">
        <v>51</v>
      </c>
      <c r="J181" s="29"/>
      <c r="K181" s="29" t="s">
        <v>47</v>
      </c>
      <c r="L181" s="87"/>
      <c r="M181" s="23"/>
      <c r="T181" s="224"/>
    </row>
    <row r="182" spans="2:20" ht="15.75">
      <c r="B182" s="306"/>
      <c r="C182" s="307"/>
      <c r="D182" s="25"/>
      <c r="E182" s="25"/>
      <c r="F182" s="25"/>
      <c r="G182" s="25"/>
      <c r="H182" s="26"/>
      <c r="I182" s="27"/>
      <c r="J182" s="82"/>
      <c r="K182" s="29" t="s">
        <v>48</v>
      </c>
      <c r="L182" s="88"/>
      <c r="M182" s="9"/>
      <c r="T182" s="224"/>
    </row>
    <row r="183" spans="2:20" ht="40.5" customHeight="1">
      <c r="B183" s="46" t="s">
        <v>1</v>
      </c>
      <c r="C183" s="298" t="s">
        <v>126</v>
      </c>
      <c r="D183" s="299"/>
      <c r="E183" s="300"/>
      <c r="F183" s="286" t="s">
        <v>243</v>
      </c>
      <c r="G183" s="21"/>
      <c r="H183" s="24">
        <f>H9</f>
        <v>0</v>
      </c>
      <c r="I183" s="39">
        <v>1</v>
      </c>
      <c r="J183" s="33"/>
      <c r="K183" s="288">
        <f>K9</f>
        <v>0</v>
      </c>
      <c r="L183" s="89"/>
      <c r="M183" s="93"/>
      <c r="T183" s="224"/>
    </row>
    <row r="184" spans="2:20" ht="40.5" customHeight="1">
      <c r="B184" s="46" t="s">
        <v>2</v>
      </c>
      <c r="C184" s="348" t="s">
        <v>259</v>
      </c>
      <c r="D184" s="349"/>
      <c r="E184" s="350"/>
      <c r="F184" s="155" t="s">
        <v>193</v>
      </c>
      <c r="G184" s="20"/>
      <c r="H184" s="24">
        <f>H10</f>
        <v>0</v>
      </c>
      <c r="I184" s="39">
        <v>1</v>
      </c>
      <c r="J184" s="33"/>
      <c r="K184" s="288">
        <f>K10</f>
        <v>0</v>
      </c>
      <c r="L184" s="89"/>
      <c r="M184" s="93"/>
      <c r="T184" s="224"/>
    </row>
    <row r="185" spans="2:20" ht="40.5" customHeight="1">
      <c r="B185" s="46" t="s">
        <v>3</v>
      </c>
      <c r="C185" s="348" t="s">
        <v>260</v>
      </c>
      <c r="D185" s="349"/>
      <c r="E185" s="350"/>
      <c r="F185" s="157" t="s">
        <v>162</v>
      </c>
      <c r="G185" s="20"/>
      <c r="H185" s="24">
        <f>H11</f>
        <v>0</v>
      </c>
      <c r="I185" s="39">
        <v>1</v>
      </c>
      <c r="J185" s="33"/>
      <c r="K185" s="288">
        <f>K11</f>
        <v>0</v>
      </c>
      <c r="L185" s="90"/>
      <c r="M185" s="93"/>
      <c r="T185" s="224"/>
    </row>
    <row r="186" spans="2:20" ht="40.5" customHeight="1">
      <c r="B186" s="168" t="s">
        <v>4</v>
      </c>
      <c r="C186" s="348" t="s">
        <v>261</v>
      </c>
      <c r="D186" s="349"/>
      <c r="E186" s="350"/>
      <c r="F186" s="156" t="s">
        <v>202</v>
      </c>
      <c r="G186" s="169"/>
      <c r="H186" s="24">
        <f>H12</f>
        <v>0</v>
      </c>
      <c r="I186" s="39">
        <v>1.3451</v>
      </c>
      <c r="J186" s="34"/>
      <c r="K186" s="288">
        <f>K12</f>
        <v>0</v>
      </c>
      <c r="L186" s="90"/>
      <c r="M186" s="93"/>
      <c r="T186" s="224"/>
    </row>
    <row r="187" spans="2:20" ht="20.25" customHeight="1">
      <c r="B187" s="337" t="s">
        <v>13</v>
      </c>
      <c r="C187" s="295" t="s">
        <v>210</v>
      </c>
      <c r="D187" s="296"/>
      <c r="E187" s="297"/>
      <c r="F187" s="446" t="s">
        <v>194</v>
      </c>
      <c r="G187" s="444"/>
      <c r="H187" s="304">
        <f>H13</f>
        <v>0</v>
      </c>
      <c r="I187" s="448">
        <v>1.3451</v>
      </c>
      <c r="J187" s="34"/>
      <c r="K187" s="346">
        <f>K13</f>
        <v>0</v>
      </c>
      <c r="L187" s="90"/>
      <c r="M187" s="435"/>
      <c r="T187" s="224"/>
    </row>
    <row r="188" spans="2:20" ht="20.25" customHeight="1">
      <c r="B188" s="338"/>
      <c r="C188" s="403">
        <f>D14</f>
        <v>0</v>
      </c>
      <c r="D188" s="404"/>
      <c r="E188" s="405"/>
      <c r="F188" s="447"/>
      <c r="G188" s="445"/>
      <c r="H188" s="305"/>
      <c r="I188" s="449"/>
      <c r="J188" s="35"/>
      <c r="K188" s="347"/>
      <c r="L188" s="91"/>
      <c r="M188" s="435"/>
      <c r="T188" s="224"/>
    </row>
    <row r="189" spans="2:20" ht="19.5" customHeight="1">
      <c r="B189" s="337" t="s">
        <v>5</v>
      </c>
      <c r="C189" s="295" t="s">
        <v>211</v>
      </c>
      <c r="D189" s="296"/>
      <c r="E189" s="297"/>
      <c r="F189" s="446" t="s">
        <v>194</v>
      </c>
      <c r="G189" s="444"/>
      <c r="H189" s="304">
        <f>H15</f>
        <v>0</v>
      </c>
      <c r="I189" s="448">
        <v>1.3451</v>
      </c>
      <c r="J189" s="34"/>
      <c r="K189" s="346">
        <f>K15</f>
        <v>0</v>
      </c>
      <c r="L189" s="90"/>
      <c r="M189" s="435"/>
      <c r="T189" s="224"/>
    </row>
    <row r="190" spans="2:20" ht="19.5" customHeight="1">
      <c r="B190" s="338"/>
      <c r="C190" s="403">
        <f>D16</f>
        <v>0</v>
      </c>
      <c r="D190" s="404"/>
      <c r="E190" s="405"/>
      <c r="F190" s="447"/>
      <c r="G190" s="445"/>
      <c r="H190" s="305"/>
      <c r="I190" s="449"/>
      <c r="J190" s="35"/>
      <c r="K190" s="347"/>
      <c r="L190" s="91"/>
      <c r="M190" s="435"/>
      <c r="T190" s="224"/>
    </row>
    <row r="191" spans="2:20" ht="20.25" customHeight="1">
      <c r="B191" s="337" t="s">
        <v>6</v>
      </c>
      <c r="C191" s="295" t="s">
        <v>212</v>
      </c>
      <c r="D191" s="296"/>
      <c r="E191" s="297"/>
      <c r="F191" s="446" t="s">
        <v>194</v>
      </c>
      <c r="G191" s="337"/>
      <c r="H191" s="304">
        <f>H17</f>
        <v>0</v>
      </c>
      <c r="I191" s="448">
        <v>1.3451</v>
      </c>
      <c r="J191" s="34"/>
      <c r="K191" s="346">
        <f>K17</f>
        <v>0</v>
      </c>
      <c r="L191" s="90"/>
      <c r="M191" s="435"/>
      <c r="T191" s="224"/>
    </row>
    <row r="192" spans="2:20" ht="20.25" customHeight="1">
      <c r="B192" s="338"/>
      <c r="C192" s="403">
        <f>D18</f>
        <v>0</v>
      </c>
      <c r="D192" s="404"/>
      <c r="E192" s="405"/>
      <c r="F192" s="447"/>
      <c r="G192" s="338"/>
      <c r="H192" s="305"/>
      <c r="I192" s="449"/>
      <c r="J192" s="35"/>
      <c r="K192" s="347"/>
      <c r="L192" s="91"/>
      <c r="M192" s="435"/>
      <c r="T192" s="224"/>
    </row>
    <row r="193" spans="2:20" ht="20.25" customHeight="1">
      <c r="B193" s="337" t="s">
        <v>7</v>
      </c>
      <c r="C193" s="295" t="s">
        <v>159</v>
      </c>
      <c r="D193" s="296"/>
      <c r="E193" s="297"/>
      <c r="F193" s="446" t="s">
        <v>241</v>
      </c>
      <c r="G193" s="337"/>
      <c r="H193" s="304">
        <f>H19</f>
        <v>0</v>
      </c>
      <c r="I193" s="448">
        <v>1.3451</v>
      </c>
      <c r="J193" s="34"/>
      <c r="K193" s="346">
        <f>K19</f>
        <v>0</v>
      </c>
      <c r="L193" s="90"/>
      <c r="M193" s="435"/>
      <c r="T193" s="224"/>
    </row>
    <row r="194" spans="2:20" ht="20.25" customHeight="1">
      <c r="B194" s="338"/>
      <c r="C194" s="479" t="str">
        <f>IF(E20=1,"MÁJUS","SZEPTEMBER")</f>
        <v>MÁJUS</v>
      </c>
      <c r="D194" s="480"/>
      <c r="E194" s="481"/>
      <c r="F194" s="447"/>
      <c r="G194" s="338"/>
      <c r="H194" s="305"/>
      <c r="I194" s="449"/>
      <c r="J194" s="35"/>
      <c r="K194" s="347"/>
      <c r="L194" s="91"/>
      <c r="M194" s="435"/>
      <c r="T194" s="224"/>
    </row>
    <row r="195" spans="2:20" ht="40.5" customHeight="1">
      <c r="B195" s="46" t="s">
        <v>8</v>
      </c>
      <c r="C195" s="298" t="s">
        <v>189</v>
      </c>
      <c r="D195" s="299"/>
      <c r="E195" s="300"/>
      <c r="F195" s="157" t="s">
        <v>192</v>
      </c>
      <c r="G195" s="22"/>
      <c r="H195" s="24">
        <f>H21</f>
        <v>0</v>
      </c>
      <c r="I195" s="39">
        <v>1.3451</v>
      </c>
      <c r="J195" s="33"/>
      <c r="K195" s="288">
        <f>K21</f>
        <v>0</v>
      </c>
      <c r="L195" s="91"/>
      <c r="M195" s="93"/>
      <c r="T195" s="224"/>
    </row>
    <row r="196" spans="2:20" ht="40.5" customHeight="1">
      <c r="B196" s="46" t="s">
        <v>10</v>
      </c>
      <c r="C196" s="298" t="s">
        <v>160</v>
      </c>
      <c r="D196" s="299"/>
      <c r="E196" s="300"/>
      <c r="F196" s="157" t="s">
        <v>163</v>
      </c>
      <c r="G196" s="22"/>
      <c r="H196" s="24">
        <f>H22</f>
        <v>0</v>
      </c>
      <c r="I196" s="39">
        <v>1.3451</v>
      </c>
      <c r="J196" s="33"/>
      <c r="K196" s="288">
        <f>K22</f>
        <v>0</v>
      </c>
      <c r="L196" s="89"/>
      <c r="M196" s="93"/>
      <c r="T196" s="224"/>
    </row>
    <row r="197" spans="2:20" ht="40.5" customHeight="1">
      <c r="B197" s="46" t="s">
        <v>11</v>
      </c>
      <c r="C197" s="298" t="s">
        <v>161</v>
      </c>
      <c r="D197" s="299"/>
      <c r="E197" s="300"/>
      <c r="F197" s="157" t="s">
        <v>176</v>
      </c>
      <c r="G197" s="21"/>
      <c r="H197" s="24">
        <f>H24</f>
        <v>0</v>
      </c>
      <c r="I197" s="39">
        <v>1.3451</v>
      </c>
      <c r="J197" s="33"/>
      <c r="K197" s="288">
        <f>K24</f>
        <v>0</v>
      </c>
      <c r="L197" s="89"/>
      <c r="M197" s="93"/>
      <c r="T197" s="224"/>
    </row>
    <row r="198" spans="2:20" ht="40.5" customHeight="1" thickBot="1">
      <c r="B198" s="46" t="s">
        <v>190</v>
      </c>
      <c r="C198" s="301" t="s">
        <v>200</v>
      </c>
      <c r="D198" s="302"/>
      <c r="E198" s="303"/>
      <c r="F198" s="158" t="s">
        <v>242</v>
      </c>
      <c r="G198" s="21"/>
      <c r="H198" s="163">
        <f>H26</f>
        <v>0</v>
      </c>
      <c r="I198" s="39">
        <v>1.3451</v>
      </c>
      <c r="J198" s="33"/>
      <c r="K198" s="288">
        <f>K26</f>
        <v>0</v>
      </c>
      <c r="L198" s="89"/>
      <c r="M198" s="93"/>
      <c r="T198" s="224"/>
    </row>
    <row r="199" spans="2:20" ht="53.25" customHeight="1" thickBot="1">
      <c r="B199" s="498" t="s">
        <v>244</v>
      </c>
      <c r="C199" s="499"/>
      <c r="D199" s="289">
        <f>IF(D30&lt;=200000,D30,"Túllépte a 200e Ft-os keretet!")</f>
        <v>0</v>
      </c>
      <c r="E199" s="500" t="s">
        <v>65</v>
      </c>
      <c r="F199" s="501"/>
      <c r="G199" s="22"/>
      <c r="H199" s="505" t="s">
        <v>64</v>
      </c>
      <c r="I199" s="506"/>
      <c r="J199" s="159"/>
      <c r="K199" s="290">
        <f>IF(K30&gt;271400,"Túllépte a bruttó keretet!",K30)</f>
        <v>0</v>
      </c>
      <c r="L199" s="92"/>
      <c r="T199" s="224"/>
    </row>
    <row r="200" spans="2:20" ht="29.25" customHeight="1">
      <c r="B200" s="292"/>
      <c r="C200" s="291"/>
      <c r="D200" s="294" t="str">
        <f>IF(AND(M5="ÖN AZ EGÉSZ KERETET FELHASZNÁLTA.",D188&lt;&gt;"Túllépte a 200eFt-os keretet!",M6="NYOMTATHATÓ A NYILATKOZAT !"),"","ADATHIÁNY /MARADVÁNY /KERET TÚLLÉPÉS MIATT HIBÁS/HIÁNYOS A NYILATKOZAT!")</f>
        <v>ADATHIÁNY /MARADVÁNY /KERET TÚLLÉPÉS MIATT HIBÁS/HIÁNYOS A NYILATKOZAT!</v>
      </c>
      <c r="E200" s="294"/>
      <c r="F200" s="294"/>
      <c r="G200" s="294"/>
      <c r="H200" s="294"/>
      <c r="I200" s="294"/>
      <c r="J200" s="294"/>
      <c r="K200" s="294"/>
      <c r="L200" s="291"/>
      <c r="T200" s="224"/>
    </row>
    <row r="201" spans="2:20" ht="38.25" customHeight="1">
      <c r="B201" s="502" t="s">
        <v>246</v>
      </c>
      <c r="C201" s="502"/>
      <c r="D201" s="502"/>
      <c r="E201" s="502"/>
      <c r="F201" s="502"/>
      <c r="G201" s="502"/>
      <c r="H201" s="502"/>
      <c r="I201" s="502"/>
      <c r="J201" s="502"/>
      <c r="K201" s="502"/>
      <c r="L201" s="11"/>
      <c r="M201" s="11"/>
      <c r="T201" s="224"/>
    </row>
    <row r="202" spans="2:20" ht="47.25" customHeight="1">
      <c r="B202" s="313" t="s">
        <v>247</v>
      </c>
      <c r="C202" s="313"/>
      <c r="D202" s="313"/>
      <c r="E202" s="313"/>
      <c r="F202" s="313"/>
      <c r="G202" s="313"/>
      <c r="H202" s="313"/>
      <c r="I202" s="313"/>
      <c r="J202" s="313"/>
      <c r="K202" s="313"/>
      <c r="L202" s="19"/>
      <c r="M202" s="19"/>
      <c r="T202" s="224"/>
    </row>
    <row r="203" spans="2:20" ht="15">
      <c r="B203" s="43" t="s">
        <v>177</v>
      </c>
      <c r="C203" s="43"/>
      <c r="D203" s="43"/>
      <c r="E203" s="43"/>
      <c r="F203" s="43"/>
      <c r="G203" s="43"/>
      <c r="H203" s="43"/>
      <c r="I203" s="43"/>
      <c r="J203" s="40"/>
      <c r="K203" s="43"/>
      <c r="L203" s="19"/>
      <c r="M203" s="19"/>
      <c r="T203" s="224"/>
    </row>
    <row r="204" spans="2:20" ht="15.75" thickBot="1">
      <c r="B204" s="43"/>
      <c r="C204" s="43"/>
      <c r="D204" s="43"/>
      <c r="E204" s="43"/>
      <c r="F204" s="43"/>
      <c r="G204" s="43"/>
      <c r="H204" s="43"/>
      <c r="I204" s="43"/>
      <c r="J204" s="40"/>
      <c r="K204" s="43"/>
      <c r="L204" s="19"/>
      <c r="M204" s="19"/>
      <c r="T204" s="224"/>
    </row>
    <row r="205" spans="2:20" ht="20.25" customHeight="1" thickBot="1">
      <c r="B205" s="496"/>
      <c r="C205" s="496"/>
      <c r="D205" s="179"/>
      <c r="E205" s="179"/>
      <c r="F205" s="180">
        <f>H31</f>
        <v>0</v>
      </c>
      <c r="G205" s="40"/>
      <c r="H205" s="218" t="str">
        <f>I31</f>
        <v>«««   Kérem töltse ki melyik elemet választja!</v>
      </c>
      <c r="I205" s="8"/>
      <c r="J205" s="8"/>
      <c r="K205" s="8"/>
      <c r="L205" s="6"/>
      <c r="M205" s="6"/>
      <c r="T205" s="224"/>
    </row>
    <row r="206" spans="2:20" ht="42" customHeight="1">
      <c r="B206" s="178"/>
      <c r="C206" s="178"/>
      <c r="D206" s="179"/>
      <c r="E206" s="509">
        <f>+H32</f>
        <v>0</v>
      </c>
      <c r="F206" s="509"/>
      <c r="G206" s="509"/>
      <c r="H206" s="509"/>
      <c r="I206" s="507" t="str">
        <f>K32</f>
        <v>«««   Kérem töltse ki A PÉNZTÁR NEVÉT / SZÉP kÁRTYA ALSZÁMLÁT IS!</v>
      </c>
      <c r="J206" s="507"/>
      <c r="K206" s="507"/>
      <c r="L206" s="6"/>
      <c r="M206" s="6"/>
      <c r="T206" s="224"/>
    </row>
    <row r="207" spans="2:20" ht="34.5" customHeight="1">
      <c r="B207" s="495" t="s">
        <v>181</v>
      </c>
      <c r="C207" s="495"/>
      <c r="D207" s="495"/>
      <c r="E207" s="495"/>
      <c r="F207" s="495"/>
      <c r="G207" s="495"/>
      <c r="H207" s="495"/>
      <c r="I207" s="495"/>
      <c r="J207" s="495"/>
      <c r="K207" s="495"/>
      <c r="L207" s="42"/>
      <c r="M207" s="41"/>
      <c r="T207" s="224"/>
    </row>
    <row r="208" spans="2:20" ht="30.75" customHeight="1">
      <c r="B208" s="497" t="s">
        <v>164</v>
      </c>
      <c r="C208" s="497"/>
      <c r="D208" s="497"/>
      <c r="E208" s="497"/>
      <c r="F208" s="497"/>
      <c r="G208" s="497"/>
      <c r="H208" s="497"/>
      <c r="I208" s="497"/>
      <c r="J208" s="497"/>
      <c r="K208" s="497"/>
      <c r="L208" s="221"/>
      <c r="M208" s="16"/>
      <c r="T208" s="224"/>
    </row>
    <row r="209" spans="2:20" ht="23.25" customHeight="1">
      <c r="B209" s="503" t="s">
        <v>165</v>
      </c>
      <c r="C209" s="503"/>
      <c r="D209" s="17"/>
      <c r="E209" s="17"/>
      <c r="F209" s="17"/>
      <c r="G209" s="17"/>
      <c r="H209" s="17"/>
      <c r="I209" s="17"/>
      <c r="J209" s="17"/>
      <c r="K209" s="17"/>
      <c r="L209" s="16"/>
      <c r="M209" s="16"/>
      <c r="T209" s="224"/>
    </row>
    <row r="210" spans="2:20" ht="15.75">
      <c r="B210" s="177"/>
      <c r="C210" s="186">
        <f>C33</f>
        <v>0</v>
      </c>
      <c r="D210" s="187">
        <f>D33</f>
        <v>42433</v>
      </c>
      <c r="E210" s="494"/>
      <c r="F210" s="494"/>
      <c r="G210" s="494"/>
      <c r="H210" s="41"/>
      <c r="I210" s="41"/>
      <c r="J210" s="41"/>
      <c r="K210" s="41"/>
      <c r="L210" s="17"/>
      <c r="M210" s="124"/>
      <c r="T210" s="224"/>
    </row>
    <row r="211" spans="2:20" ht="17.25" customHeight="1">
      <c r="B211" s="269"/>
      <c r="C211" s="270" t="s">
        <v>66</v>
      </c>
      <c r="D211" s="270" t="s">
        <v>67</v>
      </c>
      <c r="E211" s="269"/>
      <c r="F211" s="508" t="s">
        <v>184</v>
      </c>
      <c r="G211" s="508"/>
      <c r="H211" s="508"/>
      <c r="I211" s="271"/>
      <c r="J211" s="269"/>
      <c r="K211" s="270" t="s">
        <v>113</v>
      </c>
      <c r="L211" s="15"/>
      <c r="T211" s="224"/>
    </row>
    <row r="212" spans="2:24" s="272" customFormat="1" ht="59.25" customHeight="1">
      <c r="B212" s="504" t="s">
        <v>245</v>
      </c>
      <c r="C212" s="504"/>
      <c r="D212" s="504"/>
      <c r="E212" s="504"/>
      <c r="F212" s="504"/>
      <c r="G212" s="504"/>
      <c r="H212" s="504"/>
      <c r="I212" s="504"/>
      <c r="J212" s="504"/>
      <c r="K212" s="504"/>
      <c r="P212" s="273"/>
      <c r="Q212" s="273"/>
      <c r="R212" s="273"/>
      <c r="S212" s="273"/>
      <c r="T212" s="273"/>
      <c r="U212" s="273"/>
      <c r="V212" s="273"/>
      <c r="W212" s="273"/>
      <c r="X212" s="273"/>
    </row>
    <row r="213" spans="12:20" ht="69" customHeight="1">
      <c r="L213" s="268"/>
      <c r="M213" s="268"/>
      <c r="N213" s="268"/>
      <c r="O213" s="268"/>
      <c r="T213" s="224"/>
    </row>
    <row r="214" ht="30.75" customHeight="1">
      <c r="T214" s="224"/>
    </row>
  </sheetData>
  <sheetProtection password="94EE" sheet="1"/>
  <protectedRanges>
    <protectedRange sqref="T4" name="Tartom?ny1"/>
  </protectedRanges>
  <mergeCells count="175">
    <mergeCell ref="B208:K208"/>
    <mergeCell ref="B199:C199"/>
    <mergeCell ref="E199:F199"/>
    <mergeCell ref="B201:K201"/>
    <mergeCell ref="B209:C209"/>
    <mergeCell ref="B212:K212"/>
    <mergeCell ref="H199:I199"/>
    <mergeCell ref="I206:K206"/>
    <mergeCell ref="F211:H211"/>
    <mergeCell ref="E206:H206"/>
    <mergeCell ref="B36:O36"/>
    <mergeCell ref="B37:O37"/>
    <mergeCell ref="B38:O38"/>
    <mergeCell ref="B39:O39"/>
    <mergeCell ref="E210:G210"/>
    <mergeCell ref="B207:K207"/>
    <mergeCell ref="B205:C205"/>
    <mergeCell ref="K193:K194"/>
    <mergeCell ref="I193:I194"/>
    <mergeCell ref="F189:F190"/>
    <mergeCell ref="G189:G190"/>
    <mergeCell ref="B191:B192"/>
    <mergeCell ref="K191:K192"/>
    <mergeCell ref="I191:I192"/>
    <mergeCell ref="G191:G192"/>
    <mergeCell ref="C194:E194"/>
    <mergeCell ref="F193:F194"/>
    <mergeCell ref="G193:G194"/>
    <mergeCell ref="C190:E190"/>
    <mergeCell ref="H189:H190"/>
    <mergeCell ref="I187:I188"/>
    <mergeCell ref="D2:H3"/>
    <mergeCell ref="I3:K3"/>
    <mergeCell ref="I2:K2"/>
    <mergeCell ref="D4:E4"/>
    <mergeCell ref="I4:K4"/>
    <mergeCell ref="F4:H4"/>
    <mergeCell ref="D7:E7"/>
    <mergeCell ref="C12:E12"/>
    <mergeCell ref="B2:C2"/>
    <mergeCell ref="M191:M192"/>
    <mergeCell ref="B32:F32"/>
    <mergeCell ref="M24:M25"/>
    <mergeCell ref="I177:K177"/>
    <mergeCell ref="B175:C176"/>
    <mergeCell ref="F191:F192"/>
    <mergeCell ref="I179:K179"/>
    <mergeCell ref="C185:E185"/>
    <mergeCell ref="C184:E184"/>
    <mergeCell ref="D177:E177"/>
    <mergeCell ref="M193:M194"/>
    <mergeCell ref="C192:E192"/>
    <mergeCell ref="H191:H192"/>
    <mergeCell ref="G187:G188"/>
    <mergeCell ref="B193:B194"/>
    <mergeCell ref="H193:H194"/>
    <mergeCell ref="F187:F188"/>
    <mergeCell ref="B187:B188"/>
    <mergeCell ref="M189:M190"/>
    <mergeCell ref="I189:I190"/>
    <mergeCell ref="M187:M188"/>
    <mergeCell ref="A1:M1"/>
    <mergeCell ref="K17:K18"/>
    <mergeCell ref="M5:O5"/>
    <mergeCell ref="N23:O23"/>
    <mergeCell ref="N7:O7"/>
    <mergeCell ref="M15:M16"/>
    <mergeCell ref="N17:O17"/>
    <mergeCell ref="N9:O9"/>
    <mergeCell ref="I6:K6"/>
    <mergeCell ref="N27:O27"/>
    <mergeCell ref="M30:O30"/>
    <mergeCell ref="M19:M20"/>
    <mergeCell ref="F31:G31"/>
    <mergeCell ref="D18:E18"/>
    <mergeCell ref="M6:O6"/>
    <mergeCell ref="C13:E13"/>
    <mergeCell ref="K19:K20"/>
    <mergeCell ref="H30:I30"/>
    <mergeCell ref="N22:O22"/>
    <mergeCell ref="N21:O21"/>
    <mergeCell ref="H32:I32"/>
    <mergeCell ref="B172:K172"/>
    <mergeCell ref="C188:E188"/>
    <mergeCell ref="B177:C177"/>
    <mergeCell ref="B181:C181"/>
    <mergeCell ref="I176:K176"/>
    <mergeCell ref="K32:T32"/>
    <mergeCell ref="D175:H176"/>
    <mergeCell ref="B31:E31"/>
    <mergeCell ref="B7:C7"/>
    <mergeCell ref="B5:H5"/>
    <mergeCell ref="B6:H6"/>
    <mergeCell ref="B8:C8"/>
    <mergeCell ref="B30:C30"/>
    <mergeCell ref="B17:B18"/>
    <mergeCell ref="C24:E24"/>
    <mergeCell ref="D16:E16"/>
    <mergeCell ref="C9:E9"/>
    <mergeCell ref="G15:G16"/>
    <mergeCell ref="N19:O19"/>
    <mergeCell ref="I17:I18"/>
    <mergeCell ref="I24:I25"/>
    <mergeCell ref="G19:G20"/>
    <mergeCell ref="D173:I173"/>
    <mergeCell ref="F177:H177"/>
    <mergeCell ref="N20:O20"/>
    <mergeCell ref="N29:O29"/>
    <mergeCell ref="I31:O31"/>
    <mergeCell ref="N25:O25"/>
    <mergeCell ref="N28:O28"/>
    <mergeCell ref="B15:B16"/>
    <mergeCell ref="D14:E14"/>
    <mergeCell ref="F13:F14"/>
    <mergeCell ref="N18:O18"/>
    <mergeCell ref="I13:I14"/>
    <mergeCell ref="N26:O26"/>
    <mergeCell ref="C21:E21"/>
    <mergeCell ref="N24:O24"/>
    <mergeCell ref="B19:B20"/>
    <mergeCell ref="N15:O15"/>
    <mergeCell ref="H17:H18"/>
    <mergeCell ref="G17:G18"/>
    <mergeCell ref="I15:I16"/>
    <mergeCell ref="H13:H14"/>
    <mergeCell ref="B13:B14"/>
    <mergeCell ref="H15:H16"/>
    <mergeCell ref="C17:E17"/>
    <mergeCell ref="N16:O16"/>
    <mergeCell ref="K15:K16"/>
    <mergeCell ref="F15:F16"/>
    <mergeCell ref="M17:M18"/>
    <mergeCell ref="E30:F30"/>
    <mergeCell ref="I19:I20"/>
    <mergeCell ref="D20:E20"/>
    <mergeCell ref="C22:E22"/>
    <mergeCell ref="F17:F18"/>
    <mergeCell ref="C19:E19"/>
    <mergeCell ref="B179:H179"/>
    <mergeCell ref="B178:H178"/>
    <mergeCell ref="B189:B190"/>
    <mergeCell ref="E33:G33"/>
    <mergeCell ref="H19:H20"/>
    <mergeCell ref="B180:K180"/>
    <mergeCell ref="I175:K175"/>
    <mergeCell ref="K187:K188"/>
    <mergeCell ref="K189:K190"/>
    <mergeCell ref="C186:E186"/>
    <mergeCell ref="N11:O11"/>
    <mergeCell ref="C10:E10"/>
    <mergeCell ref="C11:E11"/>
    <mergeCell ref="K13:K14"/>
    <mergeCell ref="M13:M14"/>
    <mergeCell ref="N13:O13"/>
    <mergeCell ref="N14:O14"/>
    <mergeCell ref="G13:G14"/>
    <mergeCell ref="N10:O10"/>
    <mergeCell ref="N12:O12"/>
    <mergeCell ref="H187:H188"/>
    <mergeCell ref="B182:C182"/>
    <mergeCell ref="C15:E15"/>
    <mergeCell ref="E27:I27"/>
    <mergeCell ref="F19:F20"/>
    <mergeCell ref="B202:K202"/>
    <mergeCell ref="C26:E26"/>
    <mergeCell ref="C183:E183"/>
    <mergeCell ref="C187:E187"/>
    <mergeCell ref="C189:E189"/>
    <mergeCell ref="D200:K200"/>
    <mergeCell ref="C191:E191"/>
    <mergeCell ref="C193:E193"/>
    <mergeCell ref="C195:E195"/>
    <mergeCell ref="C196:E196"/>
    <mergeCell ref="C197:E197"/>
    <mergeCell ref="C198:E198"/>
  </mergeCells>
  <conditionalFormatting sqref="K189:L189 K191:L191 K193:L193 M27 K23:L23 K24 K19:L19 K17:L17 K15:L15 K25:L29 K196:L198 K183:L187 K9:L13 K21:K22 K195 D30 B30">
    <cfRule type="cellIs" priority="13" dxfId="5" operator="equal" stopIfTrue="1">
      <formula>"A beírt összeg rossz!"</formula>
    </cfRule>
  </conditionalFormatting>
  <conditionalFormatting sqref="N23 N17 N15 U8 N19 N28:N29 N9:N13">
    <cfRule type="cellIs" priority="14" dxfId="1" operator="equal" stopIfTrue="1">
      <formula>"""Rossz összegeg írt be!"</formula>
    </cfRule>
  </conditionalFormatting>
  <dataValidations count="28">
    <dataValidation allowBlank="1" showInputMessage="1" showErrorMessage="1" sqref="C190"/>
    <dataValidation type="whole" allowBlank="1" showInputMessage="1" showErrorMessage="1" promptTitle="ADÓAZONOSÍTÓ JEL" prompt="Kérem írja be 10 számjegyből álló &#10; adóazonosító jelét! 8............." error="Rossz számot adott meg!&#10;Kérem írja be a 10 számjegyből álló adóazonosító számát! 8............" sqref="I4:K4">
      <formula1>8000000000</formula1>
      <formula2>8999999999</formula2>
    </dataValidation>
    <dataValidation type="list" allowBlank="1" showInputMessage="1" showErrorMessage="1" sqref="F205">
      <formula1>$C$166:$C$171</formula1>
    </dataValidation>
    <dataValidation type="custom" allowBlank="1" showInputMessage="1" showErrorMessage="1" promptTitle="ÉTKEZÉSI ERZSÉBET UTALVÁNY" prompt="A juttatás értéke 0Ft vagy min.1.000Ft max.96.000Ft lehet és a beírt összegnek 1000-rel oszthatónak kell lenni!" error="A juttatás értéke 0Ft vagy min.1.000Ft max.96.000Ft lehet és a beírt összegnek 1000-rel oszthatónak kell lenni!" sqref="H12">
      <formula1>AND(96000&gt;=H12,H12&gt;=0,MOD(H12,1000)=0)</formula1>
    </dataValidation>
    <dataValidation type="list" allowBlank="1" showInputMessage="1" showErrorMessage="1" prompt="Válasszon pénztárat a legördülő listából! A kék színű cella melletti nyílra kattintva tudja kiválasztani a pénztár nevét. &#10;Amennyiben mégsem önsegélyező pénztárat szeretne választani, a kék mezőben levő megnevezést szabadon törölheti." sqref="D18:E18">
      <formula1>$C$163:$C$164</formula1>
    </dataValidation>
    <dataValidation type="whole" operator="lessThan" allowBlank="1" showInputMessage="1" showErrorMessage="1" promptTitle="TÖRZSSZÁM" prompt="Kérem írja be a törzsszámát!&#10;A törzsszám a havi bérfizetési jegyzék felső jobb részén is megtalálható!" error="Kérem írja be törzsszámát!&#10;A törzsszám legfeljebb 8 számjegyű lehet!" sqref="I3:K3">
      <formula1>99999999</formula1>
    </dataValidation>
    <dataValidation type="list" allowBlank="1" showInputMessage="1" showErrorMessage="1" promptTitle="Maradvány -MELYIK ELEM?" prompt="Kérem töltse ki a megadott listából az 5., 6., 7., 8., 9. vagy 10.sorszámú elem kiválasztásával, de be is írhatja az Ön által választott elem számát !&#10;Elírás, módosítás esetén a mező tartalmát törölheti!" error="Maradvány felhasználására az 5., 6., 7., 8., 9., vagy 10 sorszámú elem egyike jelölhető meg!&#10;Ebbe a cellába 5-10 közötti szám egyikét írhatja (pont nélkül!)." sqref="H31">
      <formula1>$C$166:$C$171</formula1>
    </dataValidation>
    <dataValidation allowBlank="1" showInputMessage="1" showErrorMessage="1" promptTitle="A NYILATKOZAT KITÖLTÉSE" prompt="Kérem írja be az első kék mezőbe a nevét és a többi kék színű cellát is töltse ki - a kék mezőkre lépve felugró üzenetek segítik a kitöltésben!&#10;Elírás, módosítás esetén valamennyi kék mező szabadon javítható és tartalma törölhető !&#10;" error="Kérem írja be a nevét!" sqref="D2:H3"/>
    <dataValidation allowBlank="1" showInputMessage="1" showErrorMessage="1" prompt="Kérem írja be a születési dátumát!&#10;(év-hó-nap)" sqref="D4:E4"/>
    <dataValidation errorStyle="warning" allowBlank="1" showInputMessage="1" showErrorMessage="1" promptTitle="TELEFONSZÁM" prompt="Kérem adja meg azt a telefonszámát, amelyen a Humán Szolgáltatás a VBKJ nyilatkozatára vonatkozó adategyeztetés céljából elérheti Önt!" error="Kérem adja meg telefonszámát!" sqref="I6:K6"/>
    <dataValidation allowBlank="1" showInputMessage="1" showErrorMessage="1" prompt="Válassza ki a kifizetés hónapját a hónap melletti gombra kattintva!" sqref="C20"/>
    <dataValidation showInputMessage="1" showErrorMessage="1" prompt="Válassza ki a kifizetés hónapját a hónap melletti gombra kattintva!" sqref="D20:E20"/>
    <dataValidation allowBlank="1" showInputMessage="1" showErrorMessage="1" prompt="Kérem ne feledkezzen meg a keltezésre vonatkozó rész kitöltéséről!" error="Kérem adja meg a kitöltés helyét és dátumát!" sqref="C33:D33"/>
    <dataValidation type="whole" allowBlank="1" showInputMessage="1" showErrorMessage="1" promptTitle="SPORTRENDEZVÉNYRE SZÓLÓ BELÉPŐ" prompt="A juttatásra max.271.400Ft, más elemekkel együtt max. a &quot;még felhasználható nettó összeg&quot; oszlopban feltüntetett érték írható be!" error="Az összeg 0 és 271.400 Ft közötti érték lehet!" sqref="H10">
      <formula1>0</formula1>
      <formula2>271400</formula2>
    </dataValidation>
    <dataValidation type="whole" allowBlank="1" showInputMessage="1" showErrorMessage="1" promptTitle="KULTURÁLIS SZOLGÁLTATÁSRA BELÉPŐ" prompt="A juttatásra max.50eFt, más elemekkel együtt max. a &quot;még felhasználható nettó összeg&quot; oszlopban feltüntetett érték írható be!" error="Az összeg 0 és 50.000 Ft közötti érték lehet!" sqref="H11">
      <formula1>0</formula1>
      <formula2>50000</formula2>
    </dataValidation>
    <dataValidation type="whole" allowBlank="1" showInputMessage="1" showErrorMessage="1" promptTitle="ÖNSEGÉLYEZŐ PÉNZTÁR" prompt="A juttatásra max.200.000Ft, más elemekkel együtt max. a &quot;még felhasználható nettó összeg&quot; oszlopban feltüntetett érték írható be!&#10;Amennyiben ezt a juttatási elemet választja, akkor a &quot;választható elemek&quot; oszlopban a  pénztár nevét is meg kell adnia!" error="Az összeg 0 és 200.000 Ft közötti érték lehet!" sqref="H17:H18">
      <formula1>0</formula1>
      <formula2>200000</formula2>
    </dataValidation>
    <dataValidation type="whole" operator="lessThanOrEqual" allowBlank="1" showInputMessage="1" showErrorMessage="1" promptTitle="SZÉP Kártya - SZÁLLÁS" prompt="A juttatásra max.201.769Ft, más elemekkel együtt max. a &quot;még felhasználható nettó összeg&quot; oszlopban feltüntetett érték írható be!&#10;&#10;Kérem válassza ki a kifizetés hónapját is - a kiválasztott hónap melletti gombra kattintva!" error="Az összeg 0 és 201.769 Ft közötti érték lehet!" sqref="H19:H20">
      <formula1>201769</formula1>
    </dataValidation>
    <dataValidation type="whole" allowBlank="1" showInputMessage="1" showErrorMessage="1" promptTitle="SZÉP Kártya - SZABADIDŐ" prompt="A juttatásra max.75eFt, más elemekkel együtt max. a &quot;még felhasználható nettó összeg&quot; oszlopban feltüntetett érték írható be!" error="Az összeg 0 és 75.000 Ft közötti érték lehet!" sqref="H22">
      <formula1>0</formula1>
      <formula2>75000</formula2>
    </dataValidation>
    <dataValidation type="whole" allowBlank="1" showInputMessage="1" showErrorMessage="1" promptTitle="KÖZLEKEDÉSI HOZZÁJÁRULÁS (HELYI)" prompt="A juttatásra max.200.000Ft, más elemekkel együtt max. a &quot;még felhasználható nettó összeg&quot; oszlopban feltüntetett érték írható be!&#10;" error="Az összeg 0 és 200.000 Ft közötti érték lehet!" sqref="H24">
      <formula1>0</formula1>
      <formula2>200000</formula2>
    </dataValidation>
    <dataValidation type="whole" allowBlank="1" showInputMessage="1" showErrorMessage="1" promptTitle="SZÉP Kártya - VENDÉGLÁTÁS" prompt="&#10;A juttatásra max.57.300Ft, más elemekkel együtt max. a &quot;még felhasználható nettó összeg&quot; oszlopban feltüntetett érték írható be!&#10;&#10;Ez a juttatás+az alanyi jogon járó+ más munkáltatótól kapott összeg együttes értéke nem haladhatja meg a 150.000- Ft-ot!" error="Az összeg 0 és 57.300 Ft közötti érték lehet!" sqref="H21">
      <formula1>0</formula1>
      <formula2>57300</formula2>
    </dataValidation>
    <dataValidation operator="lessThanOrEqual" allowBlank="1" showInputMessage="1" showErrorMessage="1" sqref="K30"/>
    <dataValidation type="custom" allowBlank="1" showInputMessage="1" showErrorMessage="1" promptTitle="LAKÁSCÉLÚ TÁMOGATÁS" prompt="A juttatásra min. 100eFt max.271.400Ft, más elemekkel együtt max. a &quot;még felhasználható nettó összeg&quot; oszlopban feltüntetett érték írható be!" error="Az összeg 100eFt és 271.400 Ft közötti érték lehet!" sqref="H9">
      <formula1>OR(H9=0,(AND(H9&gt;99999,H9&lt;271401)))</formula1>
    </dataValidation>
    <dataValidation type="whole" allowBlank="1" showInputMessage="1" showErrorMessage="1" promptTitle="ÖNKÉNTES NYUGDÍJPÉNZTÁR" prompt="A juttatásra max.200.000Ft, más elemekkel együtt max. a &quot;még felhasználható nettó összeg&quot; oszlopban feltüntetett érték írható be!&#10;Amennyiben ezt a juttatási elemet választja, akkor a &quot;választható elemek&quot; oszlopban a  pénztár nevét is meg kell adnia!" error="Az összeg 0 és 200.000 Ft közötti érték lehet!" sqref="H13:H14">
      <formula1>0</formula1>
      <formula2>200000</formula2>
    </dataValidation>
    <dataValidation type="whole" allowBlank="1" showInputMessage="1" showErrorMessage="1" promptTitle="ÖNKÉNTES EGÉSZSÉGPÉNZTÁR" prompt="A juttatásra max.200.000Ft, más elemekkel együtt max. a &quot;még felhasználható nettó összeg&quot; oszlopban feltüntetett érték írható be!&#10;Amennyiben ezt a juttatási elemet választja, akkor a &quot;választható elemek&quot; oszlopban a  pénztár nevét is meg kell adnia!" error="Az összeg 0 és 200.000 Ft közötti érték lehet!" sqref="H15:H16">
      <formula1>0</formula1>
      <formula2>200000</formula2>
    </dataValidation>
    <dataValidation errorStyle="information" type="whole" operator="lessThanOrEqual" allowBlank="1" showErrorMessage="1" prompt="A 4., 5., 6., 7., 8., 11. és 12. sorszámú elemek együttes összege max. 200eFt lehet!" error="A 4., 5., 6., 7., 8., 11. és 12. sorszámú elemek együttes összege max. 200eFt lehet!" sqref="E30">
      <formula1>200000</formula1>
    </dataValidation>
    <dataValidation type="list" allowBlank="1" showInputMessage="1" showErrorMessage="1" prompt="Válasszon pénztárat a legördülő listából! A kék színű cella melletti nyílra kattintva tudja kiválasztani a pénztár nevét. &#10;Amennyiben mégsem nyugdíjpénztárat szeretne választani, a kék mezőben levő megnevezést szabadon törölheti." sqref="D14:E14">
      <formula1>$C$72:$C$94</formula1>
    </dataValidation>
    <dataValidation type="list" allowBlank="1" showInputMessage="1" showErrorMessage="1" prompt="Válasszon pénztárat a legördülő listából! A kék színű cella melletti nyílra kattintva tudja kiválasztani a pénztár nevét. &#10;Amennyiben mégsem egészségpénztárat szeretne választani, a kék mezőben levő megnevezést szabadon törölheti." sqref="D16:E16">
      <formula1>$C$102:$C$115</formula1>
    </dataValidation>
    <dataValidation errorStyle="warning" type="list" allowBlank="1" showInputMessage="1" showErrorMessage="1" promptTitle="Maradvány-PÉNZTÁR /ALSZÁMLA neve" prompt="Kérem töltse ki ezt a mezőt a maradványként megjelölt juttatási elemnek megfelelően, a megadott listából!&#10;Elírás, módosítás esetén a mező tartalmát törölheti!" error="A kék mezőre állva a cella melletti nyílra kattintva legördülő listából válassza ki a pénztárat vagy SZÉP Kártya alszámlát amelyre a maradványát kéri." sqref="H32:I32">
      <formula1>CHOOSE(H31,,,,,C72:C94,C102:C115,C163:C164,C19,C21,C22)</formula1>
    </dataValidation>
  </dataValidations>
  <hyperlinks>
    <hyperlink ref="H26" location="iskolakezédsi!A1" display="iskolakezédsi!A1"/>
  </hyperlinks>
  <printOptions horizontalCentered="1" verticalCentered="1"/>
  <pageMargins left="0.1968503937007874" right="0.1968503937007874" top="0.1968503937007874" bottom="0.1968503937007874" header="0.15748031496062992" footer="0.1968503937007874"/>
  <pageSetup horizontalDpi="600" verticalDpi="600" orientation="portrait" paperSize="9" scale="68" r:id="rId4"/>
  <colBreaks count="1" manualBreakCount="1">
    <brk id="12" max="65535" man="1"/>
  </colBreaks>
  <ignoredErrors>
    <ignoredError sqref="N14 N17:N18" formula="1"/>
  </ignoredErrors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N22"/>
  <sheetViews>
    <sheetView showGridLines="0" showRowColHeaders="0" showOutlineSymbols="0" zoomScale="85" zoomScaleNormal="85" zoomScalePageLayoutView="0" workbookViewId="0" topLeftCell="A1">
      <selection activeCell="E18" sqref="E18:E19"/>
    </sheetView>
  </sheetViews>
  <sheetFormatPr defaultColWidth="9.140625" defaultRowHeight="12.75"/>
  <cols>
    <col min="2" max="2" width="18.00390625" style="60" bestFit="1" customWidth="1"/>
    <col min="3" max="3" width="16.7109375" style="0" customWidth="1"/>
    <col min="4" max="4" width="16.421875" style="0" customWidth="1"/>
    <col min="5" max="5" width="17.7109375" style="0" customWidth="1"/>
    <col min="6" max="6" width="15.7109375" style="0" customWidth="1"/>
    <col min="7" max="7" width="21.00390625" style="0" customWidth="1"/>
    <col min="10" max="10" width="14.00390625" style="0" bestFit="1" customWidth="1"/>
  </cols>
  <sheetData>
    <row r="1" spans="1:7" ht="12.75">
      <c r="A1" s="54"/>
      <c r="B1" s="54"/>
      <c r="C1" s="53"/>
      <c r="D1" s="53"/>
      <c r="E1" s="53"/>
      <c r="F1" s="53"/>
      <c r="G1" s="53"/>
    </row>
    <row r="2" spans="2:7" ht="27" customHeight="1" thickBot="1">
      <c r="B2" s="510" t="s">
        <v>221</v>
      </c>
      <c r="C2" s="510"/>
      <c r="D2" s="510"/>
      <c r="E2" s="510"/>
      <c r="F2" s="510"/>
      <c r="G2" s="510"/>
    </row>
    <row r="3" spans="1:11" s="56" customFormat="1" ht="21" customHeight="1" thickBot="1">
      <c r="A3" s="55"/>
      <c r="B3" s="253" t="s">
        <v>73</v>
      </c>
      <c r="C3" s="254">
        <f>IF((ROUNDDOWN(MÁV!N2/1.3451,-3))&gt;200000,200000,(ROUNDDOWN(MÁV!N2/1.3451,-3)))</f>
        <v>200000</v>
      </c>
      <c r="D3" s="255" t="s">
        <v>220</v>
      </c>
      <c r="E3" s="55"/>
      <c r="F3" s="55"/>
      <c r="G3" s="247" t="s">
        <v>206</v>
      </c>
      <c r="H3" s="250"/>
      <c r="I3" s="248" t="s">
        <v>205</v>
      </c>
      <c r="J3" s="249">
        <f>111000*0.3</f>
        <v>33300</v>
      </c>
      <c r="K3" s="251"/>
    </row>
    <row r="4" spans="1:12" ht="26.25" customHeight="1">
      <c r="A4" s="53"/>
      <c r="B4" s="519" t="s">
        <v>74</v>
      </c>
      <c r="C4" s="515" t="s">
        <v>75</v>
      </c>
      <c r="D4" s="517" t="s">
        <v>76</v>
      </c>
      <c r="E4" s="518" t="s">
        <v>77</v>
      </c>
      <c r="F4" s="53"/>
      <c r="G4" s="511" t="s">
        <v>219</v>
      </c>
      <c r="H4" s="512"/>
      <c r="I4" s="512"/>
      <c r="J4" s="512"/>
      <c r="K4" s="512"/>
      <c r="L4" s="512"/>
    </row>
    <row r="5" spans="1:12" ht="21" customHeight="1" thickBot="1">
      <c r="A5" s="53"/>
      <c r="B5" s="520"/>
      <c r="C5" s="516"/>
      <c r="D5" s="518"/>
      <c r="E5" s="518"/>
      <c r="F5" s="57"/>
      <c r="G5" s="512"/>
      <c r="H5" s="512"/>
      <c r="I5" s="512"/>
      <c r="J5" s="512"/>
      <c r="K5" s="512"/>
      <c r="L5" s="512"/>
    </row>
    <row r="6" spans="1:7" ht="21.75" customHeight="1" thickBot="1">
      <c r="A6" s="53"/>
      <c r="B6" s="211" t="s">
        <v>78</v>
      </c>
      <c r="C6" s="214">
        <v>0</v>
      </c>
      <c r="D6" s="212">
        <v>1.3451</v>
      </c>
      <c r="E6" s="213">
        <f>IF(OR(C6&gt;=0,C6&lt;=33300),IF(C6=33300,(ROUND(C6*D6,0)),IF(MOD(C6,1000)=0,(ROUND(C6*D6,0)),"Rossz összeg!")),"Rossz összeg!")</f>
        <v>0</v>
      </c>
      <c r="F6" s="58">
        <f>IF(E6="Rossz összeg!","A beírt összeget a program nem veszi figyelembe.","")</f>
      </c>
      <c r="G6" s="53"/>
    </row>
    <row r="7" spans="1:13" ht="21" customHeight="1" thickBot="1">
      <c r="A7" s="53"/>
      <c r="B7" s="211" t="s">
        <v>79</v>
      </c>
      <c r="C7" s="214">
        <v>0</v>
      </c>
      <c r="D7" s="212">
        <v>1.3451</v>
      </c>
      <c r="E7" s="213">
        <f>IF(OR(C7&gt;=0,C7&lt;=33300),IF(C7=33300,(ROUND(C7*D7,0)),IF(MOD(C7,1000)=0,(ROUND(C7*D7,0)),"Rossz összeg!")),"Rossz összeg!")</f>
        <v>0</v>
      </c>
      <c r="F7" s="58">
        <f>IF(E7="Rossz összeg!","A beírt összeget a program nem veszi figyelembe.","")</f>
      </c>
      <c r="M7" s="152"/>
    </row>
    <row r="8" spans="1:13" ht="21.75" customHeight="1" thickBot="1">
      <c r="A8" s="53"/>
      <c r="B8" s="211" t="s">
        <v>80</v>
      </c>
      <c r="C8" s="214">
        <v>0</v>
      </c>
      <c r="D8" s="212">
        <v>1.3451</v>
      </c>
      <c r="E8" s="213">
        <f aca="true" t="shared" si="0" ref="E8:E15">IF(OR(C8&gt;=0,C8&lt;=33300),IF(C8=33300,(ROUND(C8*D8,0)),IF(MOD(C8,1000)=0,(ROUND(C8*D8,0)),"Rossz összeg!")),"Rossz összeg!")</f>
        <v>0</v>
      </c>
      <c r="F8" s="58">
        <f>IF(E8="Rossz összeg!","A beírt összeget a program nem veszi figyelembe.","")</f>
      </c>
      <c r="M8" s="152"/>
    </row>
    <row r="9" spans="1:14" ht="21.75" customHeight="1" thickBot="1">
      <c r="A9" s="53"/>
      <c r="B9" s="211" t="s">
        <v>81</v>
      </c>
      <c r="C9" s="214">
        <v>0</v>
      </c>
      <c r="D9" s="212">
        <v>1.3451</v>
      </c>
      <c r="E9" s="213">
        <f t="shared" si="0"/>
        <v>0</v>
      </c>
      <c r="F9" s="189">
        <f>IF(E9="Rossz összeg!","A beírt összeget a program nem veszi figyelembe.","")</f>
      </c>
      <c r="M9" s="152"/>
      <c r="N9" s="192"/>
    </row>
    <row r="10" spans="1:13" ht="21.75" customHeight="1" thickBot="1">
      <c r="A10" s="53"/>
      <c r="B10" s="211" t="s">
        <v>82</v>
      </c>
      <c r="C10" s="214">
        <v>0</v>
      </c>
      <c r="D10" s="212">
        <v>1.3451</v>
      </c>
      <c r="E10" s="213">
        <f t="shared" si="0"/>
        <v>0</v>
      </c>
      <c r="F10" s="58">
        <f aca="true" t="shared" si="1" ref="F10:F15">IF(E10="Rossz összeg!","A beírt összeget a program nem veszi figyelembe.","")</f>
      </c>
      <c r="M10" s="152"/>
    </row>
    <row r="11" spans="1:6" ht="21.75" customHeight="1" thickBot="1">
      <c r="A11" s="53"/>
      <c r="B11" s="211" t="s">
        <v>83</v>
      </c>
      <c r="C11" s="214">
        <v>0</v>
      </c>
      <c r="D11" s="212">
        <v>1.3451</v>
      </c>
      <c r="E11" s="213">
        <f t="shared" si="0"/>
        <v>0</v>
      </c>
      <c r="F11" s="58">
        <f t="shared" si="1"/>
      </c>
    </row>
    <row r="12" spans="1:6" ht="21.75" customHeight="1" thickBot="1">
      <c r="A12" s="53"/>
      <c r="B12" s="211" t="s">
        <v>84</v>
      </c>
      <c r="C12" s="214">
        <v>0</v>
      </c>
      <c r="D12" s="212">
        <v>1.3451</v>
      </c>
      <c r="E12" s="213">
        <f t="shared" si="0"/>
        <v>0</v>
      </c>
      <c r="F12" s="58">
        <f t="shared" si="1"/>
      </c>
    </row>
    <row r="13" spans="1:6" ht="21.75" customHeight="1" thickBot="1">
      <c r="A13" s="53"/>
      <c r="B13" s="211" t="s">
        <v>85</v>
      </c>
      <c r="C13" s="214">
        <v>0</v>
      </c>
      <c r="D13" s="212">
        <v>1.3451</v>
      </c>
      <c r="E13" s="213">
        <f t="shared" si="0"/>
        <v>0</v>
      </c>
      <c r="F13" s="58">
        <f t="shared" si="1"/>
      </c>
    </row>
    <row r="14" spans="1:7" ht="21.75" customHeight="1" thickBot="1">
      <c r="A14" s="53"/>
      <c r="B14" s="211" t="s">
        <v>86</v>
      </c>
      <c r="C14" s="214">
        <v>0</v>
      </c>
      <c r="D14" s="212">
        <v>1.3451</v>
      </c>
      <c r="E14" s="213">
        <f t="shared" si="0"/>
        <v>0</v>
      </c>
      <c r="F14" s="58">
        <f t="shared" si="1"/>
      </c>
      <c r="G14" s="53"/>
    </row>
    <row r="15" spans="1:7" ht="21.75" customHeight="1" thickBot="1">
      <c r="A15" s="53"/>
      <c r="B15" s="211" t="s">
        <v>87</v>
      </c>
      <c r="C15" s="214">
        <v>0</v>
      </c>
      <c r="D15" s="212">
        <v>1.3451</v>
      </c>
      <c r="E15" s="213">
        <f t="shared" si="0"/>
        <v>0</v>
      </c>
      <c r="F15" s="58">
        <f t="shared" si="1"/>
      </c>
      <c r="G15" s="53"/>
    </row>
    <row r="16" spans="1:12" ht="35.25" customHeight="1">
      <c r="A16" s="53"/>
      <c r="B16" s="215" t="s">
        <v>88</v>
      </c>
      <c r="C16" s="252">
        <f>IF(E16/D15&gt;C3,"Túllépte az összeghatárt",(SUM(C6:C15)))</f>
        <v>0</v>
      </c>
      <c r="D16" s="215" t="s">
        <v>89</v>
      </c>
      <c r="E16" s="216">
        <f>ROUND(SUM(E6:E15),0)</f>
        <v>0</v>
      </c>
      <c r="F16" s="59"/>
      <c r="G16" s="522" t="s">
        <v>188</v>
      </c>
      <c r="H16" s="522"/>
      <c r="I16" s="522"/>
      <c r="J16" s="522"/>
      <c r="K16" s="522"/>
      <c r="L16" s="522"/>
    </row>
    <row r="17" spans="1:12" ht="9.75" customHeight="1" thickBot="1">
      <c r="A17" s="53"/>
      <c r="B17" s="54"/>
      <c r="C17" s="53"/>
      <c r="D17" s="53"/>
      <c r="E17" s="53"/>
      <c r="F17" s="53"/>
      <c r="G17" s="190"/>
      <c r="H17" s="190"/>
      <c r="I17" s="190"/>
      <c r="J17" s="190"/>
      <c r="K17" s="190"/>
      <c r="L17" s="190"/>
    </row>
    <row r="18" spans="1:12" ht="13.5" thickTop="1">
      <c r="A18" s="53"/>
      <c r="B18" s="54"/>
      <c r="C18" s="53"/>
      <c r="D18" s="53"/>
      <c r="E18" s="513" t="s">
        <v>90</v>
      </c>
      <c r="F18" s="53"/>
      <c r="G18" s="521" t="s">
        <v>222</v>
      </c>
      <c r="H18" s="521"/>
      <c r="I18" s="521"/>
      <c r="J18" s="521"/>
      <c r="K18" s="521"/>
      <c r="L18" s="521"/>
    </row>
    <row r="19" spans="1:12" ht="64.5" thickBot="1">
      <c r="A19" s="53"/>
      <c r="B19" s="245" t="s">
        <v>196</v>
      </c>
      <c r="C19" s="246">
        <f>MÁV!M26</f>
        <v>200000</v>
      </c>
      <c r="D19" s="53"/>
      <c r="E19" s="514"/>
      <c r="F19" s="53"/>
      <c r="G19" s="521"/>
      <c r="H19" s="521"/>
      <c r="I19" s="521"/>
      <c r="J19" s="521"/>
      <c r="K19" s="521"/>
      <c r="L19" s="521"/>
    </row>
    <row r="20" spans="1:12" ht="13.5" thickTop="1">
      <c r="A20" s="53"/>
      <c r="B20" s="54"/>
      <c r="C20" s="53"/>
      <c r="D20" s="53"/>
      <c r="E20" s="53"/>
      <c r="F20" s="53"/>
      <c r="G20" s="521"/>
      <c r="H20" s="521"/>
      <c r="I20" s="521"/>
      <c r="J20" s="521"/>
      <c r="K20" s="521"/>
      <c r="L20" s="521"/>
    </row>
    <row r="21" spans="7:12" ht="12.75">
      <c r="G21" s="521"/>
      <c r="H21" s="521"/>
      <c r="I21" s="521"/>
      <c r="J21" s="521"/>
      <c r="K21" s="521"/>
      <c r="L21" s="521"/>
    </row>
    <row r="22" spans="7:12" ht="23.25" customHeight="1">
      <c r="G22" s="521"/>
      <c r="H22" s="521"/>
      <c r="I22" s="521"/>
      <c r="J22" s="521"/>
      <c r="K22" s="521"/>
      <c r="L22" s="521"/>
    </row>
  </sheetData>
  <sheetProtection password="94EE" sheet="1"/>
  <mergeCells count="9">
    <mergeCell ref="B2:G2"/>
    <mergeCell ref="G4:L5"/>
    <mergeCell ref="E18:E19"/>
    <mergeCell ref="C4:C5"/>
    <mergeCell ref="D4:D5"/>
    <mergeCell ref="E4:E5"/>
    <mergeCell ref="B4:B5"/>
    <mergeCell ref="G18:L22"/>
    <mergeCell ref="G16:L16"/>
  </mergeCells>
  <conditionalFormatting sqref="E6:F15">
    <cfRule type="cellIs" priority="1" dxfId="3" operator="equal" stopIfTrue="1">
      <formula>"Rossz összeget írt be!"</formula>
    </cfRule>
  </conditionalFormatting>
  <conditionalFormatting sqref="E18">
    <cfRule type="cellIs" priority="2" dxfId="1" operator="equal" stopIfTrue="1">
      <formula>"""Rossz összegeg írt be!"</formula>
    </cfRule>
  </conditionalFormatting>
  <dataValidations count="2">
    <dataValidation operator="greaterThan" allowBlank="1" showInputMessage="1" showErrorMessage="1" sqref="C16"/>
    <dataValidation type="custom" allowBlank="1" showInputMessage="1" showErrorMessage="1" prompt="Az adott sorban szereplő összeg 0, 33.300Ft  vagy 1000 Ft-tal osztható lehet.&#10;Ezt a típusú elemet max. 200.000Ft értékben lehet választani! " error="Az összeg0 vagy 0 vagy  min. 1000,-Ft max. 33.300 Ft illetve a két érték között 1000-rel osztható lehet!" sqref="C6:C15">
      <formula1>OR(C6=0,C6=33300,AND(C6&gt;0,MOD(C6,1000)=0))</formula1>
    </dataValidation>
  </dataValidations>
  <hyperlinks>
    <hyperlink ref="E18" location="Nyilatkozat!H30" display="Vissza a kitöltéshez"/>
    <hyperlink ref="E18:E19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N23"/>
  <sheetViews>
    <sheetView showGridLines="0" showRowColHeaders="0" showOutlineSymbols="0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9.140625" style="18" customWidth="1"/>
    <col min="2" max="2" width="18.00390625" style="18" bestFit="1" customWidth="1"/>
    <col min="3" max="3" width="16.57421875" style="18" customWidth="1"/>
    <col min="4" max="4" width="16.28125" style="18" customWidth="1"/>
    <col min="5" max="5" width="17.28125" style="18" customWidth="1"/>
    <col min="6" max="16384" width="9.140625" style="18" customWidth="1"/>
  </cols>
  <sheetData>
    <row r="1" spans="1:6" ht="12.75">
      <c r="A1" s="53"/>
      <c r="B1" s="53"/>
      <c r="C1" s="53"/>
      <c r="D1" s="53"/>
      <c r="E1" s="53"/>
      <c r="F1" s="53"/>
    </row>
    <row r="2" spans="2:7" ht="27" customHeight="1" thickBot="1">
      <c r="B2" s="97" t="s">
        <v>91</v>
      </c>
      <c r="C2" s="61"/>
      <c r="D2" s="61"/>
      <c r="E2" s="61"/>
      <c r="F2" s="61"/>
      <c r="G2" s="131" t="s">
        <v>111</v>
      </c>
    </row>
    <row r="3" spans="1:14" s="62" customFormat="1" ht="21" customHeight="1">
      <c r="A3" s="55"/>
      <c r="B3" s="98" t="s">
        <v>73</v>
      </c>
      <c r="C3" s="99">
        <v>284000</v>
      </c>
      <c r="D3" s="55"/>
      <c r="E3" s="55"/>
      <c r="F3" s="55"/>
      <c r="G3" s="523" t="s">
        <v>156</v>
      </c>
      <c r="H3" s="524"/>
      <c r="I3" s="524"/>
      <c r="J3" s="524"/>
      <c r="K3" s="524"/>
      <c r="L3" s="524"/>
      <c r="M3" s="524"/>
      <c r="N3" s="524"/>
    </row>
    <row r="4" spans="1:14" ht="12.75" customHeight="1">
      <c r="A4" s="53"/>
      <c r="B4" s="528" t="s">
        <v>92</v>
      </c>
      <c r="C4" s="529" t="s">
        <v>93</v>
      </c>
      <c r="D4" s="528" t="s">
        <v>76</v>
      </c>
      <c r="E4" s="528" t="s">
        <v>77</v>
      </c>
      <c r="F4" s="53"/>
      <c r="G4" s="524"/>
      <c r="H4" s="524"/>
      <c r="I4" s="524"/>
      <c r="J4" s="524"/>
      <c r="K4" s="524"/>
      <c r="L4" s="524"/>
      <c r="M4" s="524"/>
      <c r="N4" s="524"/>
    </row>
    <row r="5" spans="1:14" s="64" customFormat="1" ht="37.5" customHeight="1">
      <c r="A5" s="63"/>
      <c r="B5" s="528"/>
      <c r="C5" s="530"/>
      <c r="D5" s="528"/>
      <c r="E5" s="528"/>
      <c r="F5" s="63"/>
      <c r="G5" s="524"/>
      <c r="H5" s="524"/>
      <c r="I5" s="524"/>
      <c r="J5" s="524"/>
      <c r="K5" s="524"/>
      <c r="L5" s="524"/>
      <c r="M5" s="524"/>
      <c r="N5" s="524"/>
    </row>
    <row r="6" spans="1:14" ht="21" customHeight="1">
      <c r="A6" s="53"/>
      <c r="B6" s="101" t="s">
        <v>94</v>
      </c>
      <c r="C6" s="103">
        <v>0</v>
      </c>
      <c r="D6" s="102">
        <v>1.2304</v>
      </c>
      <c r="E6" s="100">
        <f>IF(C6=0,0,IF(AND(C6&gt;=5000,C6&lt;=78000),IF(C6=78000,C6*D6,IF(MOD(C6,1000)=0,C6*D6,"Rossz összeg!")),"Rossz összeg!"))</f>
        <v>0</v>
      </c>
      <c r="F6" s="65">
        <f>IF(E6="Rossz összeg!","A beírt összeget a program nem veszi figyelembe.","")</f>
      </c>
      <c r="G6" s="148"/>
      <c r="H6" s="148"/>
      <c r="I6" s="148"/>
      <c r="J6" s="148"/>
      <c r="K6" s="148"/>
      <c r="L6" s="148"/>
      <c r="M6" s="148"/>
      <c r="N6" s="148"/>
    </row>
    <row r="7" spans="1:14" ht="21" customHeight="1">
      <c r="A7" s="53"/>
      <c r="B7" s="101" t="s">
        <v>95</v>
      </c>
      <c r="C7" s="103">
        <v>0</v>
      </c>
      <c r="D7" s="102">
        <v>1.2304</v>
      </c>
      <c r="E7" s="100">
        <f>IF(C7=0,0,IF(AND(C7&gt;=5000,C7&lt;=78000),IF(C7=78000,C7*D7,IF(MOD(C7,1000)=0,C7*D7,"Rossz összeg!")),"Rossz összeg!"))</f>
        <v>0</v>
      </c>
      <c r="F7" s="65">
        <f aca="true" t="shared" si="0" ref="F7:F15">IF(E7="Rossz összeg!","A beírt összeget a program nem veszi figyelembe.","")</f>
      </c>
      <c r="G7" s="148"/>
      <c r="H7" s="148"/>
      <c r="I7" s="148"/>
      <c r="J7" s="148"/>
      <c r="K7" s="148"/>
      <c r="L7" s="148"/>
      <c r="M7" s="148"/>
      <c r="N7" s="148"/>
    </row>
    <row r="8" spans="1:11" ht="21" customHeight="1">
      <c r="A8" s="53"/>
      <c r="B8" s="101" t="s">
        <v>96</v>
      </c>
      <c r="C8" s="103">
        <v>0</v>
      </c>
      <c r="D8" s="102">
        <v>1.2304</v>
      </c>
      <c r="E8" s="100">
        <f>IF(C8=0,0,IF(AND(C8&gt;=5000,C8&lt;=78000),IF(C8=78000,C8*D8,IF(MOD(C8,1000)=0,C8*D8,"Rossz összeg!")),"Rossz összeg!"))</f>
        <v>0</v>
      </c>
      <c r="F8" s="65">
        <f t="shared" si="0"/>
      </c>
      <c r="H8" s="131"/>
      <c r="I8" s="131"/>
      <c r="J8" s="131"/>
      <c r="K8" s="131"/>
    </row>
    <row r="9" spans="1:14" ht="21" customHeight="1">
      <c r="A9" s="53"/>
      <c r="B9" s="101" t="s">
        <v>97</v>
      </c>
      <c r="C9" s="103">
        <v>0</v>
      </c>
      <c r="D9" s="102">
        <v>1.2304</v>
      </c>
      <c r="E9" s="100">
        <f>IF(C9=0,0,IF(AND(C9&gt;=5000,C9&lt;=78000),IF(C9=78000,C9*D9,IF(MOD(C9,1000)=0,C9*D9,"Rossz összeg!")),"Rossz összeg!"))</f>
        <v>0</v>
      </c>
      <c r="F9" s="65">
        <f t="shared" si="0"/>
      </c>
      <c r="G9" s="148"/>
      <c r="H9" s="148"/>
      <c r="I9" s="148"/>
      <c r="J9" s="148"/>
      <c r="K9" s="148"/>
      <c r="L9" s="148"/>
      <c r="M9" s="148"/>
      <c r="N9" s="148"/>
    </row>
    <row r="10" spans="1:14" ht="21" customHeight="1">
      <c r="A10" s="53"/>
      <c r="B10" s="101" t="s">
        <v>98</v>
      </c>
      <c r="C10" s="103">
        <v>0</v>
      </c>
      <c r="D10" s="102">
        <v>1.2304</v>
      </c>
      <c r="E10" s="100">
        <f>IF(C10=0,0,IF(AND(C10&gt;=5000,C10&lt;=78000),IF(C10=78000,C10*D10,IF(MOD(C10,1000)=0,C10*D10,"Rossz összeg!")),"Rossz összeg!"))</f>
        <v>0</v>
      </c>
      <c r="F10" s="65">
        <f t="shared" si="0"/>
      </c>
      <c r="G10" s="148"/>
      <c r="H10" s="148"/>
      <c r="I10" s="148"/>
      <c r="J10" s="148"/>
      <c r="K10" s="148"/>
      <c r="L10" s="148"/>
      <c r="M10" s="148"/>
      <c r="N10" s="148"/>
    </row>
    <row r="11" spans="1:14" ht="21" customHeight="1">
      <c r="A11" s="53"/>
      <c r="B11" s="101" t="s">
        <v>99</v>
      </c>
      <c r="C11" s="103">
        <v>0</v>
      </c>
      <c r="D11" s="102">
        <v>1.2304</v>
      </c>
      <c r="E11" s="100">
        <f>IF(C11=0,0,IF(AND(C11&gt;=5000,C11&lt;=78000),IF(C11=73500,C11*D11,IF(MOD(C11,1000)=0,C11*D11,"Rossz összeg!")),"Rossz összeg!"))</f>
        <v>0</v>
      </c>
      <c r="F11" s="65">
        <f t="shared" si="0"/>
      </c>
      <c r="G11" s="148"/>
      <c r="H11" s="148"/>
      <c r="I11" s="148"/>
      <c r="J11" s="148"/>
      <c r="K11" s="148"/>
      <c r="L11" s="148"/>
      <c r="M11" s="148"/>
      <c r="N11" s="148"/>
    </row>
    <row r="12" spans="1:7" ht="21" customHeight="1">
      <c r="A12" s="53"/>
      <c r="B12" s="101" t="s">
        <v>100</v>
      </c>
      <c r="C12" s="103">
        <v>0</v>
      </c>
      <c r="D12" s="102">
        <v>1.2304</v>
      </c>
      <c r="E12" s="100">
        <f>IF(C12=0,0,IF(AND(C12&gt;=5000,C12&lt;=78000),IF(C12=78000,C12*D12,IF(MOD(C12,1000)=0,C12*D12,"Rossz összeg!")),"Rossz összeg!"))</f>
        <v>0</v>
      </c>
      <c r="F12" s="65">
        <f t="shared" si="0"/>
      </c>
      <c r="G12" s="66"/>
    </row>
    <row r="13" spans="1:7" ht="21" customHeight="1">
      <c r="A13" s="53"/>
      <c r="B13" s="101" t="s">
        <v>101</v>
      </c>
      <c r="C13" s="103">
        <v>0</v>
      </c>
      <c r="D13" s="102">
        <v>1.2304</v>
      </c>
      <c r="E13" s="100">
        <f>IF(C13=0,0,IF(AND(C13&gt;=5000,C13&lt;=78000),IF(C13=78000,C13*D13,IF(MOD(C13,1000)=0,C13*D13,"Rossz összeg!")),"Rossz összeg!"))</f>
        <v>0</v>
      </c>
      <c r="F13" s="65">
        <f t="shared" si="0"/>
      </c>
      <c r="G13" s="66"/>
    </row>
    <row r="14" spans="1:7" ht="21" customHeight="1">
      <c r="A14" s="53"/>
      <c r="B14" s="101" t="s">
        <v>102</v>
      </c>
      <c r="C14" s="103">
        <v>0</v>
      </c>
      <c r="D14" s="102">
        <v>1.2304</v>
      </c>
      <c r="E14" s="100">
        <f>IF(C14=0,0,IF(AND(C14&gt;=5000,C14&lt;=78000),IF(C14=78000,C14*D14,IF(MOD(C14,1000)=0,C14*D14,"Rossz összeg!")),"Rossz összeg!"))</f>
        <v>0</v>
      </c>
      <c r="F14" s="65">
        <f t="shared" si="0"/>
      </c>
      <c r="G14" s="66"/>
    </row>
    <row r="15" spans="1:7" ht="21" customHeight="1">
      <c r="A15" s="53"/>
      <c r="B15" s="101" t="s">
        <v>103</v>
      </c>
      <c r="C15" s="104">
        <v>0</v>
      </c>
      <c r="D15" s="102">
        <v>1.2304</v>
      </c>
      <c r="E15" s="100">
        <f>IF(C15=0,0,IF(AND(C15&gt;=5000,C15&lt;=78000),IF(C15=78000,C15*D15,IF(MOD(C15,1000)=0,C15*D15,"Rossz összeg!")),"Rossz összeg!"))</f>
        <v>0</v>
      </c>
      <c r="F15" s="65">
        <f t="shared" si="0"/>
      </c>
      <c r="G15" s="66"/>
    </row>
    <row r="16" spans="1:7" ht="35.25" customHeight="1">
      <c r="A16" s="53"/>
      <c r="B16" s="95" t="s">
        <v>88</v>
      </c>
      <c r="C16" s="96">
        <f>E16/D15</f>
        <v>0</v>
      </c>
      <c r="D16" s="95" t="s">
        <v>89</v>
      </c>
      <c r="E16" s="94">
        <f>IF(SUM(E6:E15)&gt;(C3*1.2304),"0 Ft",SUM(E6:E15))</f>
        <v>0</v>
      </c>
      <c r="F16" s="65">
        <f>IF(E16&gt;C3*1.2304,"A beírt összeg meghaladja az igényelhető összeget!","")</f>
      </c>
      <c r="G16" s="66"/>
    </row>
    <row r="17" spans="1:6" ht="13.5" thickBot="1">
      <c r="A17" s="53"/>
      <c r="B17" s="54"/>
      <c r="C17" s="525"/>
      <c r="D17" s="53"/>
      <c r="E17" s="53"/>
      <c r="F17" s="53"/>
    </row>
    <row r="18" spans="1:6" ht="33" thickBot="1" thickTop="1">
      <c r="A18" s="53"/>
      <c r="B18" s="54"/>
      <c r="C18" s="526"/>
      <c r="D18" s="147"/>
      <c r="E18" s="146" t="s">
        <v>90</v>
      </c>
      <c r="F18" s="53"/>
    </row>
    <row r="19" spans="1:6" ht="13.5" thickTop="1">
      <c r="A19" s="53"/>
      <c r="B19" s="54"/>
      <c r="C19" s="527"/>
      <c r="D19" s="53"/>
      <c r="E19" s="53"/>
      <c r="F19" s="53"/>
    </row>
    <row r="20" spans="1:6" ht="12.75">
      <c r="A20" s="53"/>
      <c r="B20" s="53"/>
      <c r="C20" s="527"/>
      <c r="D20" s="53"/>
      <c r="E20" s="53"/>
      <c r="F20" s="53"/>
    </row>
    <row r="23" ht="15">
      <c r="F23" s="67"/>
    </row>
  </sheetData>
  <sheetProtection/>
  <mergeCells count="6">
    <mergeCell ref="G3:N5"/>
    <mergeCell ref="C17:C20"/>
    <mergeCell ref="B4:B5"/>
    <mergeCell ref="C4:C5"/>
    <mergeCell ref="D4:D5"/>
    <mergeCell ref="E4:E5"/>
  </mergeCells>
  <conditionalFormatting sqref="F6:F16 G12:G15 E18">
    <cfRule type="cellIs" priority="1" dxfId="1" operator="equal" stopIfTrue="1">
      <formula>"""Rossz összegeg írt be!"</formula>
    </cfRule>
  </conditionalFormatting>
  <conditionalFormatting sqref="E6:E15">
    <cfRule type="cellIs" priority="2" dxfId="0" operator="equal" stopIfTrue="1">
      <formula>"Rossz összeget írt be!"</formula>
    </cfRule>
  </conditionalFormatting>
  <hyperlinks>
    <hyperlink ref="E18" location="MÁV!H26" display="Vissza a kitöltéshez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G3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1.28125" style="3" bestFit="1" customWidth="1"/>
    <col min="2" max="2" width="46.421875" style="4" customWidth="1"/>
    <col min="3" max="3" width="31.7109375" style="4" bestFit="1" customWidth="1"/>
    <col min="4" max="4" width="36.7109375" style="4" bestFit="1" customWidth="1"/>
    <col min="5" max="5" width="28.421875" style="4" customWidth="1"/>
    <col min="6" max="6" width="13.28125" style="4" bestFit="1" customWidth="1"/>
    <col min="7" max="7" width="53.140625" style="4" bestFit="1" customWidth="1"/>
    <col min="8" max="16384" width="9.140625" style="4" customWidth="1"/>
  </cols>
  <sheetData>
    <row r="1" spans="1:7" s="2" customFormat="1" ht="12.75">
      <c r="A1" s="2" t="s">
        <v>0</v>
      </c>
      <c r="B1" s="1" t="s">
        <v>33</v>
      </c>
      <c r="C1" s="1" t="s">
        <v>18</v>
      </c>
      <c r="D1" s="1" t="s">
        <v>17</v>
      </c>
      <c r="E1" s="2" t="s">
        <v>20</v>
      </c>
      <c r="F1" s="2" t="s">
        <v>38</v>
      </c>
      <c r="G1" s="2" t="s">
        <v>43</v>
      </c>
    </row>
    <row r="2" spans="1:7" s="2" customFormat="1" ht="12.75">
      <c r="A2" s="3">
        <v>78000</v>
      </c>
      <c r="B2" s="3" t="s">
        <v>34</v>
      </c>
      <c r="C2" s="3" t="s">
        <v>37</v>
      </c>
      <c r="D2" s="3" t="s">
        <v>28</v>
      </c>
      <c r="E2" s="3" t="s">
        <v>34</v>
      </c>
      <c r="F2" s="4">
        <v>21450</v>
      </c>
      <c r="G2" s="4" t="s">
        <v>39</v>
      </c>
    </row>
    <row r="3" spans="1:7" ht="12.75">
      <c r="A3" s="3">
        <v>143000</v>
      </c>
      <c r="B3" s="3" t="s">
        <v>14</v>
      </c>
      <c r="C3" s="3" t="s">
        <v>35</v>
      </c>
      <c r="D3" s="3" t="s">
        <v>27</v>
      </c>
      <c r="E3" s="3" t="s">
        <v>14</v>
      </c>
      <c r="F3" s="4">
        <v>42900</v>
      </c>
      <c r="G3" s="4" t="s">
        <v>40</v>
      </c>
    </row>
    <row r="4" spans="1:7" ht="12.75">
      <c r="A4" s="3">
        <v>214500</v>
      </c>
      <c r="B4" s="3" t="s">
        <v>15</v>
      </c>
      <c r="C4" s="3" t="s">
        <v>36</v>
      </c>
      <c r="D4" s="3" t="s">
        <v>21</v>
      </c>
      <c r="E4" s="3" t="s">
        <v>15</v>
      </c>
      <c r="F4" s="4">
        <f>F3+21450</f>
        <v>64350</v>
      </c>
      <c r="G4" s="4" t="s">
        <v>41</v>
      </c>
    </row>
    <row r="5" spans="2:7" ht="12.75">
      <c r="B5" s="3" t="s">
        <v>19</v>
      </c>
      <c r="C5" s="3" t="s">
        <v>119</v>
      </c>
      <c r="D5" s="3" t="s">
        <v>22</v>
      </c>
      <c r="E5" s="3" t="s">
        <v>19</v>
      </c>
      <c r="F5" s="4">
        <f>F4+21450</f>
        <v>85800</v>
      </c>
      <c r="G5" s="4" t="s">
        <v>44</v>
      </c>
    </row>
    <row r="6" spans="2:7" ht="12.75">
      <c r="B6" s="3" t="s">
        <v>16</v>
      </c>
      <c r="C6" s="3"/>
      <c r="D6" s="3" t="s">
        <v>29</v>
      </c>
      <c r="E6" s="3" t="s">
        <v>16</v>
      </c>
      <c r="F6" s="4">
        <f aca="true" t="shared" si="0" ref="F6:F13">F5+21450</f>
        <v>107250</v>
      </c>
      <c r="G6" s="4" t="s">
        <v>45</v>
      </c>
    </row>
    <row r="7" spans="2:7" ht="12.75">
      <c r="B7" s="4" t="s">
        <v>138</v>
      </c>
      <c r="C7" s="3"/>
      <c r="D7" s="3" t="s">
        <v>23</v>
      </c>
      <c r="E7" s="3" t="s">
        <v>37</v>
      </c>
      <c r="F7" s="4">
        <f t="shared" si="0"/>
        <v>128700</v>
      </c>
      <c r="G7" s="4" t="s">
        <v>42</v>
      </c>
    </row>
    <row r="8" spans="2:6" ht="12.75">
      <c r="B8" s="3" t="s">
        <v>137</v>
      </c>
      <c r="C8" s="3"/>
      <c r="D8" s="3" t="s">
        <v>30</v>
      </c>
      <c r="E8" s="3" t="s">
        <v>35</v>
      </c>
      <c r="F8" s="4">
        <f t="shared" si="0"/>
        <v>150150</v>
      </c>
    </row>
    <row r="9" spans="2:6" ht="12.75">
      <c r="B9" s="3" t="s">
        <v>139</v>
      </c>
      <c r="C9" s="3"/>
      <c r="D9" s="3" t="s">
        <v>31</v>
      </c>
      <c r="E9" s="3" t="s">
        <v>36</v>
      </c>
      <c r="F9" s="4">
        <f t="shared" si="0"/>
        <v>171600</v>
      </c>
    </row>
    <row r="10" spans="2:6" ht="12.75">
      <c r="B10" s="3" t="s">
        <v>140</v>
      </c>
      <c r="C10" s="3"/>
      <c r="D10" s="3" t="s">
        <v>24</v>
      </c>
      <c r="E10" s="3"/>
      <c r="F10" s="4">
        <f t="shared" si="0"/>
        <v>193050</v>
      </c>
    </row>
    <row r="11" spans="2:6" ht="12.75">
      <c r="B11" s="3" t="s">
        <v>141</v>
      </c>
      <c r="C11" s="3"/>
      <c r="D11" s="3" t="s">
        <v>32</v>
      </c>
      <c r="E11" s="3"/>
      <c r="F11" s="4">
        <f t="shared" si="0"/>
        <v>214500</v>
      </c>
    </row>
    <row r="12" spans="2:6" ht="12.75">
      <c r="B12" s="3" t="s">
        <v>142</v>
      </c>
      <c r="C12" s="3"/>
      <c r="D12" s="3" t="s">
        <v>127</v>
      </c>
      <c r="E12" s="3"/>
      <c r="F12" s="4">
        <f t="shared" si="0"/>
        <v>235950</v>
      </c>
    </row>
    <row r="13" spans="3:6" ht="12.75">
      <c r="C13" s="3"/>
      <c r="D13" s="3" t="s">
        <v>128</v>
      </c>
      <c r="E13" s="3"/>
      <c r="F13" s="4">
        <f t="shared" si="0"/>
        <v>257400</v>
      </c>
    </row>
    <row r="14" spans="3:5" ht="12.75">
      <c r="C14" s="3"/>
      <c r="D14" s="3" t="s">
        <v>129</v>
      </c>
      <c r="E14" s="3"/>
    </row>
    <row r="15" spans="3:5" ht="12.75">
      <c r="C15" s="3"/>
      <c r="D15" s="3" t="s">
        <v>130</v>
      </c>
      <c r="E15" s="3"/>
    </row>
    <row r="16" spans="3:5" ht="12.75">
      <c r="C16" s="3"/>
      <c r="D16" s="3" t="s">
        <v>131</v>
      </c>
      <c r="E16" s="3"/>
    </row>
    <row r="17" spans="3:5" ht="12.75">
      <c r="C17" s="3"/>
      <c r="D17" s="3" t="s">
        <v>132</v>
      </c>
      <c r="E17" s="3"/>
    </row>
    <row r="18" spans="3:5" ht="12.75">
      <c r="C18" s="3"/>
      <c r="D18" s="3" t="s">
        <v>133</v>
      </c>
      <c r="E18" s="3"/>
    </row>
    <row r="19" spans="3:5" ht="12.75">
      <c r="C19" s="3"/>
      <c r="D19" s="3" t="s">
        <v>134</v>
      </c>
      <c r="E19" s="3"/>
    </row>
    <row r="20" spans="3:5" ht="12.75">
      <c r="C20" s="3"/>
      <c r="D20" s="3" t="s">
        <v>135</v>
      </c>
      <c r="E20" s="3"/>
    </row>
    <row r="21" spans="3:5" ht="12.75">
      <c r="C21" s="3"/>
      <c r="D21" s="3" t="s">
        <v>136</v>
      </c>
      <c r="E21" s="3"/>
    </row>
    <row r="22" spans="4:5" ht="12.75">
      <c r="D22" s="3"/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C32" s="149"/>
    </row>
  </sheetData>
  <sheetProtection/>
  <dataValidations count="2">
    <dataValidation type="list" allowBlank="1" showInputMessage="1" showErrorMessage="1" sqref="E26">
      <formula1>"gyümik"</formula1>
    </dataValidation>
    <dataValidation type="list" allowBlank="1" showInputMessage="1" showErrorMessage="1" sqref="E27">
      <formula1>gyümi</formula1>
    </dataValidation>
  </dataValidations>
  <printOptions gridLines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Balázs Ferenc</dc:creator>
  <cp:keywords/>
  <dc:description/>
  <cp:lastModifiedBy>Güntherné Varga Erzsébet</cp:lastModifiedBy>
  <cp:lastPrinted>2016-02-26T15:50:59Z</cp:lastPrinted>
  <dcterms:created xsi:type="dcterms:W3CDTF">2004-11-22T12:08:28Z</dcterms:created>
  <dcterms:modified xsi:type="dcterms:W3CDTF">2016-03-04T11:19:11Z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ZCX3UT6XDRC7-56-15</vt:lpwstr>
  </property>
  <property fmtid="{D5CDD505-2E9C-101B-9397-08002B2CF9AE}" pid="3" name="_dlc_DocIdItemGuid">
    <vt:lpwstr>19a93e7e-293c-40d0-a5ec-836f6f334108</vt:lpwstr>
  </property>
  <property fmtid="{D5CDD505-2E9C-101B-9397-08002B2CF9AE}" pid="4" name="_dlc_DocIdUrl">
    <vt:lpwstr>https://intranet.mav.hu/mavszk/vbkj/_layouts/DocIdRedir.aspx?ID=ZCX3UT6XDRC7-56-15, ZCX3UT6XDRC7-56-15</vt:lpwstr>
  </property>
  <property fmtid="{D5CDD505-2E9C-101B-9397-08002B2CF9AE}" pid="5" name="Order">
    <vt:lpwstr>700.000000000000</vt:lpwstr>
  </property>
  <property fmtid="{D5CDD505-2E9C-101B-9397-08002B2CF9AE}" pid="6" name="Sorrend">
    <vt:lpwstr>1.00000000000000</vt:lpwstr>
  </property>
</Properties>
</file>